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7620" yWindow="2025" windowWidth="15480" windowHeight="11640"/>
  </bookViews>
  <sheets>
    <sheet name="ECU Libraries" sheetId="1" r:id="rId1"/>
    <sheet name="Budgets 2011-15" sheetId="7" r:id="rId2"/>
    <sheet name="Laupus" sheetId="4" r:id="rId3"/>
    <sheet name="Joyner" sheetId="5" r:id="rId4"/>
  </sheets>
  <externalReferences>
    <externalReference r:id="rId5"/>
  </externalReferences>
  <definedNames>
    <definedName name="_xlnm.Print_Area" localSheetId="3">Joyner!$A$4:$P$78</definedName>
    <definedName name="_xlnm.Print_Area" localSheetId="2">Laupus!$A$4:$O$78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7"/>
  <c r="G9"/>
  <c r="H9"/>
  <c r="I9"/>
  <c r="F8"/>
  <c r="G8"/>
  <c r="H8"/>
  <c r="I8"/>
  <c r="F10"/>
  <c r="G10"/>
  <c r="H10"/>
  <c r="I10"/>
  <c r="E6"/>
  <c r="F6"/>
  <c r="D6"/>
  <c r="C6"/>
  <c r="B6"/>
  <c r="E65" i="5"/>
  <c r="E20"/>
  <c r="E67"/>
  <c r="D67"/>
  <c r="E69"/>
  <c r="D69"/>
  <c r="D71"/>
  <c r="D77"/>
  <c r="T71"/>
  <c r="T73"/>
  <c r="K22"/>
  <c r="K24"/>
  <c r="K32"/>
  <c r="K34"/>
  <c r="K40"/>
  <c r="K45"/>
  <c r="K50"/>
  <c r="K59"/>
  <c r="K65"/>
  <c r="K10"/>
  <c r="K11"/>
  <c r="K14"/>
  <c r="H15"/>
  <c r="I15"/>
  <c r="K15"/>
  <c r="K20"/>
  <c r="K77"/>
  <c r="E77"/>
  <c r="Q77"/>
  <c r="P22"/>
  <c r="P34"/>
  <c r="P65"/>
  <c r="P15"/>
  <c r="P19"/>
  <c r="P20"/>
  <c r="P67"/>
  <c r="P77"/>
  <c r="O22"/>
  <c r="O65"/>
  <c r="O10"/>
  <c r="O14"/>
  <c r="O15"/>
  <c r="O20"/>
  <c r="O67"/>
  <c r="O77"/>
  <c r="N65"/>
  <c r="N20"/>
  <c r="N67"/>
  <c r="N77"/>
  <c r="M65"/>
  <c r="M20"/>
  <c r="M67"/>
  <c r="M77"/>
  <c r="L65"/>
  <c r="L11"/>
  <c r="L15"/>
  <c r="L19"/>
  <c r="L20"/>
  <c r="L67"/>
  <c r="L77"/>
  <c r="J65"/>
  <c r="J10"/>
  <c r="J11"/>
  <c r="J12"/>
  <c r="J14"/>
  <c r="J15"/>
  <c r="J20"/>
  <c r="J67"/>
  <c r="J77"/>
  <c r="I25"/>
  <c r="I26"/>
  <c r="I27"/>
  <c r="I31"/>
  <c r="I39"/>
  <c r="I65"/>
  <c r="I20"/>
  <c r="I77"/>
  <c r="H65"/>
  <c r="H20"/>
  <c r="H77"/>
  <c r="G77"/>
  <c r="F65"/>
  <c r="F77"/>
  <c r="C22"/>
  <c r="C65"/>
  <c r="C20"/>
  <c r="C77"/>
  <c r="K67"/>
  <c r="Q65"/>
  <c r="I64"/>
  <c r="H61"/>
  <c r="H62"/>
  <c r="H64"/>
  <c r="Q59"/>
  <c r="J59"/>
  <c r="Q50"/>
  <c r="J50"/>
  <c r="J49"/>
  <c r="J48"/>
  <c r="J47"/>
  <c r="J46"/>
  <c r="Q45"/>
  <c r="J45"/>
  <c r="J44"/>
  <c r="J43"/>
  <c r="J42"/>
  <c r="J41"/>
  <c r="Q40"/>
  <c r="J40"/>
  <c r="J39"/>
  <c r="J38"/>
  <c r="J37"/>
  <c r="J36"/>
  <c r="J35"/>
  <c r="Q34"/>
  <c r="J34"/>
  <c r="J33"/>
  <c r="Q32"/>
  <c r="J32"/>
  <c r="J31"/>
  <c r="J30"/>
  <c r="J29"/>
  <c r="J28"/>
  <c r="J27"/>
  <c r="J26"/>
  <c r="J25"/>
  <c r="Q24"/>
  <c r="J24"/>
  <c r="J23"/>
  <c r="Q22"/>
  <c r="J22"/>
  <c r="Q20"/>
  <c r="O18"/>
  <c r="J18"/>
  <c r="J16"/>
  <c r="Q15"/>
  <c r="Q14"/>
  <c r="Q12"/>
  <c r="Q11"/>
  <c r="Q10"/>
  <c r="A4"/>
  <c r="J22" i="4"/>
  <c r="J24"/>
  <c r="J32"/>
  <c r="J34"/>
  <c r="J40"/>
  <c r="J45"/>
  <c r="J50"/>
  <c r="J59"/>
  <c r="J65"/>
  <c r="J10"/>
  <c r="J11"/>
  <c r="J14"/>
  <c r="G15"/>
  <c r="H15"/>
  <c r="J15"/>
  <c r="J20"/>
  <c r="J77"/>
  <c r="D77"/>
  <c r="P77"/>
  <c r="N77"/>
  <c r="M77"/>
  <c r="L77"/>
  <c r="K77"/>
  <c r="I77"/>
  <c r="H25"/>
  <c r="H26"/>
  <c r="H27"/>
  <c r="H31"/>
  <c r="H39"/>
  <c r="H65"/>
  <c r="H20"/>
  <c r="H77"/>
  <c r="G65"/>
  <c r="G20"/>
  <c r="G77"/>
  <c r="F77"/>
  <c r="E65"/>
  <c r="E77"/>
  <c r="C22"/>
  <c r="C65"/>
  <c r="C20"/>
  <c r="C77"/>
  <c r="D65"/>
  <c r="P65"/>
  <c r="O22"/>
  <c r="O34"/>
  <c r="O65"/>
  <c r="N22"/>
  <c r="N65"/>
  <c r="M65"/>
  <c r="L65"/>
  <c r="K65"/>
  <c r="I65"/>
  <c r="H64"/>
  <c r="G61"/>
  <c r="G62"/>
  <c r="G64"/>
  <c r="P59"/>
  <c r="I59"/>
  <c r="P50"/>
  <c r="I50"/>
  <c r="I49"/>
  <c r="I48"/>
  <c r="I47"/>
  <c r="I46"/>
  <c r="P45"/>
  <c r="I45"/>
  <c r="I44"/>
  <c r="I43"/>
  <c r="I42"/>
  <c r="I41"/>
  <c r="P40"/>
  <c r="I40"/>
  <c r="I39"/>
  <c r="I38"/>
  <c r="I37"/>
  <c r="I36"/>
  <c r="I35"/>
  <c r="P34"/>
  <c r="I34"/>
  <c r="I33"/>
  <c r="P32"/>
  <c r="I32"/>
  <c r="I31"/>
  <c r="I30"/>
  <c r="I29"/>
  <c r="I28"/>
  <c r="I27"/>
  <c r="I26"/>
  <c r="I25"/>
  <c r="P24"/>
  <c r="I24"/>
  <c r="I23"/>
  <c r="P22"/>
  <c r="I22"/>
  <c r="D20"/>
  <c r="P20"/>
  <c r="O15"/>
  <c r="O19"/>
  <c r="O20"/>
  <c r="N10"/>
  <c r="N14"/>
  <c r="N15"/>
  <c r="N20"/>
  <c r="M20"/>
  <c r="L20"/>
  <c r="K11"/>
  <c r="K15"/>
  <c r="K19"/>
  <c r="K20"/>
  <c r="I10"/>
  <c r="I11"/>
  <c r="I12"/>
  <c r="I14"/>
  <c r="I15"/>
  <c r="I20"/>
  <c r="N18"/>
  <c r="I18"/>
  <c r="I16"/>
  <c r="P15"/>
  <c r="P14"/>
  <c r="P12"/>
  <c r="P11"/>
  <c r="P10"/>
  <c r="A4"/>
  <c r="F6" i="1"/>
  <c r="E4"/>
  <c r="F11"/>
  <c r="F4"/>
  <c r="F13"/>
  <c r="D4"/>
  <c r="C4"/>
  <c r="B4"/>
</calcChain>
</file>

<file path=xl/comments1.xml><?xml version="1.0" encoding="utf-8"?>
<comments xmlns="http://schemas.openxmlformats.org/spreadsheetml/2006/main">
  <authors>
    <author>Academic Library Services</author>
    <author>ALS</author>
    <author>Lou Rook</author>
  </authors>
  <commentList>
    <comment ref="E11" authorId="0">
      <text>
        <r>
          <rPr>
            <b/>
            <sz val="8"/>
            <color indexed="81"/>
            <rFont val="Tahoma"/>
            <family val="2"/>
          </rPr>
          <t>Academic Library Services:</t>
        </r>
        <r>
          <rPr>
            <sz val="8"/>
            <color indexed="81"/>
            <rFont val="Tahoma"/>
            <family val="2"/>
          </rPr>
          <t xml:space="preserve">
position 42042
which is only a grad line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Academic Library Services:</t>
        </r>
        <r>
          <rPr>
            <sz val="8"/>
            <color indexed="81"/>
            <rFont val="Tahoma"/>
            <family val="2"/>
          </rPr>
          <t xml:space="preserve">
position 42042
which is only a grad line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Academic Library Services:</t>
        </r>
        <r>
          <rPr>
            <sz val="8"/>
            <color indexed="81"/>
            <rFont val="Tahoma"/>
            <family val="2"/>
          </rPr>
          <t xml:space="preserve">
all the vacant poisitions make up this figure - 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>Academic Library Services:</t>
        </r>
        <r>
          <rPr>
            <sz val="8"/>
            <color indexed="81"/>
            <rFont val="Tahoma"/>
            <family val="2"/>
          </rPr>
          <t xml:space="preserve">
all the vacant poisitions make up this figure - </t>
        </r>
      </text>
    </comment>
    <comment ref="E16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SG are Budgeted at 
42,000
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SG are Budgeted at 
42,000
</t>
        </r>
      </text>
    </comment>
    <comment ref="K92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EPA/SPA</t>
        </r>
      </text>
    </comment>
    <comment ref="K94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travel line   PH 1 Library Travel
</t>
        </r>
      </text>
    </comment>
    <comment ref="D95" authorId="2">
      <text>
        <r>
          <rPr>
            <b/>
            <sz val="9"/>
            <color indexed="81"/>
            <rFont val="Tahoma"/>
            <family val="2"/>
          </rPr>
          <t>Lou Rook:</t>
        </r>
        <r>
          <rPr>
            <sz val="9"/>
            <color indexed="81"/>
            <rFont val="Tahoma"/>
            <family val="2"/>
          </rPr>
          <t xml:space="preserve">
100K - gave back 50K for 1% cut -</t>
        </r>
      </text>
    </comment>
    <comment ref="D96" authorId="2">
      <text>
        <r>
          <rPr>
            <b/>
            <sz val="9"/>
            <color indexed="81"/>
            <rFont val="Tahoma"/>
            <family val="2"/>
          </rPr>
          <t>Lou Rook:</t>
        </r>
        <r>
          <rPr>
            <sz val="9"/>
            <color indexed="81"/>
            <rFont val="Tahoma"/>
            <family val="2"/>
          </rPr>
          <t xml:space="preserve">
had to give back $142,437 - total</t>
        </r>
      </text>
    </comment>
    <comment ref="D97" authorId="2">
      <text>
        <r>
          <rPr>
            <b/>
            <sz val="9"/>
            <color indexed="81"/>
            <rFont val="Tahoma"/>
            <family val="2"/>
          </rPr>
          <t>Lou Rook:</t>
        </r>
        <r>
          <rPr>
            <sz val="9"/>
            <color indexed="81"/>
            <rFont val="Tahoma"/>
            <family val="2"/>
          </rPr>
          <t xml:space="preserve">
130 - trc
71 - furniture for new study rooms</t>
        </r>
      </text>
    </comment>
    <comment ref="K108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1140339 and 8350
</t>
        </r>
      </text>
    </comment>
    <comment ref="K109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PH 1 Library Books</t>
        </r>
      </text>
    </comment>
  </commentList>
</comments>
</file>

<file path=xl/comments2.xml><?xml version="1.0" encoding="utf-8"?>
<comments xmlns="http://schemas.openxmlformats.org/spreadsheetml/2006/main">
  <authors>
    <author>Academic Library Services</author>
    <author>ALS</author>
    <author>Lou Rook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Academic Library Services:</t>
        </r>
        <r>
          <rPr>
            <sz val="8"/>
            <color indexed="81"/>
            <rFont val="Tahoma"/>
            <family val="2"/>
          </rPr>
          <t xml:space="preserve">
position 42042
which is only a grad line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Academic Library Services:</t>
        </r>
        <r>
          <rPr>
            <sz val="8"/>
            <color indexed="81"/>
            <rFont val="Tahoma"/>
            <family val="2"/>
          </rPr>
          <t xml:space="preserve">
position 42042
which is only a grad line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>Academic Library Services:</t>
        </r>
        <r>
          <rPr>
            <sz val="8"/>
            <color indexed="81"/>
            <rFont val="Tahoma"/>
            <family val="2"/>
          </rPr>
          <t xml:space="preserve">
all the vacant poisitions make up this figure - 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Academic Library Services:</t>
        </r>
        <r>
          <rPr>
            <sz val="8"/>
            <color indexed="81"/>
            <rFont val="Tahoma"/>
            <family val="2"/>
          </rPr>
          <t xml:space="preserve">
all the vacant poisitions make up this figure - 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SG are Budgeted at 
42,000
</t>
        </r>
      </text>
    </comment>
    <comment ref="G16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SG are Budgeted at 
42,000
</t>
        </r>
      </text>
    </comment>
    <comment ref="L92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EPA/SPA</t>
        </r>
      </text>
    </comment>
    <comment ref="L94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travel line   PH 1 Library Travel
</t>
        </r>
      </text>
    </comment>
    <comment ref="E95" authorId="2">
      <text>
        <r>
          <rPr>
            <b/>
            <sz val="9"/>
            <color indexed="81"/>
            <rFont val="Tahoma"/>
            <family val="2"/>
          </rPr>
          <t>Lou Rook:</t>
        </r>
        <r>
          <rPr>
            <sz val="9"/>
            <color indexed="81"/>
            <rFont val="Tahoma"/>
            <family val="2"/>
          </rPr>
          <t xml:space="preserve">
100K - gave back 50K for 1% cut -</t>
        </r>
      </text>
    </comment>
    <comment ref="E96" authorId="2">
      <text>
        <r>
          <rPr>
            <b/>
            <sz val="9"/>
            <color indexed="81"/>
            <rFont val="Tahoma"/>
            <family val="2"/>
          </rPr>
          <t>Lou Rook:</t>
        </r>
        <r>
          <rPr>
            <sz val="9"/>
            <color indexed="81"/>
            <rFont val="Tahoma"/>
            <family val="2"/>
          </rPr>
          <t xml:space="preserve">
had to give back $142,437 - total</t>
        </r>
      </text>
    </comment>
    <comment ref="E97" authorId="2">
      <text>
        <r>
          <rPr>
            <b/>
            <sz val="9"/>
            <color indexed="81"/>
            <rFont val="Tahoma"/>
            <family val="2"/>
          </rPr>
          <t>Lou Rook:</t>
        </r>
        <r>
          <rPr>
            <sz val="9"/>
            <color indexed="81"/>
            <rFont val="Tahoma"/>
            <family val="2"/>
          </rPr>
          <t xml:space="preserve">
130 - trc
71 - furniture for new study rooms</t>
        </r>
      </text>
    </comment>
    <comment ref="L108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1140339 and 8350
</t>
        </r>
      </text>
    </comment>
    <comment ref="L109" authorId="1">
      <text>
        <r>
          <rPr>
            <b/>
            <sz val="8"/>
            <color indexed="81"/>
            <rFont val="Tahoma"/>
            <family val="2"/>
          </rPr>
          <t>ALS:</t>
        </r>
        <r>
          <rPr>
            <sz val="8"/>
            <color indexed="81"/>
            <rFont val="Tahoma"/>
            <family val="2"/>
          </rPr>
          <t xml:space="preserve">
PH 1 Library Books</t>
        </r>
      </text>
    </comment>
  </commentList>
</comments>
</file>

<file path=xl/sharedStrings.xml><?xml version="1.0" encoding="utf-8"?>
<sst xmlns="http://schemas.openxmlformats.org/spreadsheetml/2006/main" count="340" uniqueCount="175">
  <si>
    <t>Joyner</t>
  </si>
  <si>
    <t>Laupus</t>
  </si>
  <si>
    <t>Virtual Library</t>
  </si>
  <si>
    <t>2008-09</t>
  </si>
  <si>
    <t>2009-10</t>
  </si>
  <si>
    <t>2010-11</t>
  </si>
  <si>
    <t>2011-12</t>
  </si>
  <si>
    <t>2007-08</t>
  </si>
  <si>
    <t>Total</t>
  </si>
  <si>
    <t>Personnel</t>
  </si>
  <si>
    <t>Other Operating</t>
  </si>
  <si>
    <t>Acquisitions</t>
  </si>
  <si>
    <t>Sub-total</t>
  </si>
  <si>
    <t>ECU Libraries Funding 2007-2012</t>
  </si>
  <si>
    <t>Laupus Library Budget &amp; Expenditures 2007 - 2011</t>
  </si>
  <si>
    <t xml:space="preserve"> </t>
  </si>
  <si>
    <t>2011-2012</t>
  </si>
  <si>
    <t>2010-2011</t>
  </si>
  <si>
    <t>2009-2010</t>
  </si>
  <si>
    <t>2008-2009</t>
  </si>
  <si>
    <t>2007-2008</t>
  </si>
  <si>
    <t>Account</t>
  </si>
  <si>
    <t>Original</t>
  </si>
  <si>
    <t>Projections</t>
  </si>
  <si>
    <t xml:space="preserve">YTD Spent &amp; </t>
  </si>
  <si>
    <t>Current YTD</t>
  </si>
  <si>
    <t>Actual YearEnd</t>
  </si>
  <si>
    <t>%</t>
  </si>
  <si>
    <t>Account Name</t>
  </si>
  <si>
    <t>Number</t>
  </si>
  <si>
    <t>Budget</t>
  </si>
  <si>
    <t>12% Budget Cut</t>
  </si>
  <si>
    <t>Spent to Date</t>
  </si>
  <si>
    <t>Encumb.</t>
  </si>
  <si>
    <t>Encumbered</t>
  </si>
  <si>
    <t>Bal Available</t>
  </si>
  <si>
    <t>Bud. Proj.</t>
  </si>
  <si>
    <t>Expenditures</t>
  </si>
  <si>
    <t>Remaining</t>
  </si>
  <si>
    <t>EPA Salaries</t>
  </si>
  <si>
    <t>Faculty/Temp</t>
  </si>
  <si>
    <t>Grad Assistants</t>
  </si>
  <si>
    <t>Grad Position</t>
  </si>
  <si>
    <t>Vacant Positions</t>
  </si>
  <si>
    <t>SPA Salaries</t>
  </si>
  <si>
    <t>SPA</t>
  </si>
  <si>
    <t>TEMPS</t>
  </si>
  <si>
    <t>Security Guards</t>
  </si>
  <si>
    <t>SPA Temps</t>
  </si>
  <si>
    <t>Fringe Benefits</t>
  </si>
  <si>
    <t xml:space="preserve">Salaries </t>
  </si>
  <si>
    <t>Student Wages</t>
  </si>
  <si>
    <t>GA Wages</t>
  </si>
  <si>
    <t>Student Pay</t>
  </si>
  <si>
    <t>GA's</t>
  </si>
  <si>
    <t xml:space="preserve">Supplies </t>
  </si>
  <si>
    <t xml:space="preserve">Food </t>
  </si>
  <si>
    <t>Educational</t>
  </si>
  <si>
    <t>72181-72205</t>
  </si>
  <si>
    <t>Repair Supplies</t>
  </si>
  <si>
    <t>72122-72132</t>
  </si>
  <si>
    <t>Motor Vechicle</t>
  </si>
  <si>
    <t>72140-72141</t>
  </si>
  <si>
    <t>Office</t>
  </si>
  <si>
    <t>72110-72121</t>
  </si>
  <si>
    <t>Other</t>
  </si>
  <si>
    <t>72314-72317,72160</t>
  </si>
  <si>
    <t>Library Materials/Preservation</t>
  </si>
  <si>
    <t>72351-72360</t>
  </si>
  <si>
    <t>Furniture &amp; Equipment</t>
  </si>
  <si>
    <t>Office Furn</t>
  </si>
  <si>
    <t>72420,21,28</t>
  </si>
  <si>
    <t>Computer</t>
  </si>
  <si>
    <t>72462,63,70,82,660</t>
  </si>
  <si>
    <t>72424,25</t>
  </si>
  <si>
    <t>72454,92</t>
  </si>
  <si>
    <t xml:space="preserve">Contractural Services </t>
  </si>
  <si>
    <t>Medical Services</t>
  </si>
  <si>
    <t>73011-73016</t>
  </si>
  <si>
    <t>Emp on Loan</t>
  </si>
  <si>
    <t>Contractual  Agmts</t>
  </si>
  <si>
    <t>73067-73098</t>
  </si>
  <si>
    <t xml:space="preserve">Travel </t>
  </si>
  <si>
    <t>Travel</t>
  </si>
  <si>
    <t>Registrations</t>
  </si>
  <si>
    <t xml:space="preserve">Airline </t>
  </si>
  <si>
    <t xml:space="preserve">Current Services </t>
  </si>
  <si>
    <t>Postage</t>
  </si>
  <si>
    <t xml:space="preserve">Communication </t>
  </si>
  <si>
    <t>Printing</t>
  </si>
  <si>
    <t>Repairs-All</t>
  </si>
  <si>
    <t>73441,43,45,49</t>
  </si>
  <si>
    <t>Freight</t>
  </si>
  <si>
    <t>Advertisement</t>
  </si>
  <si>
    <t>73491,93</t>
  </si>
  <si>
    <t>On Line</t>
  </si>
  <si>
    <t xml:space="preserve">Other Fixed Charges </t>
  </si>
  <si>
    <t>Storage Rental</t>
  </si>
  <si>
    <t>73662,</t>
  </si>
  <si>
    <t>Maintenance</t>
  </si>
  <si>
    <t>73630,32,36,48</t>
  </si>
  <si>
    <t>Insurance</t>
  </si>
  <si>
    <t>73610,15</t>
  </si>
  <si>
    <t>73731,32,36</t>
  </si>
  <si>
    <t>Other SubTotal</t>
  </si>
  <si>
    <t xml:space="preserve">Personnel </t>
  </si>
  <si>
    <t>Library Materials</t>
  </si>
  <si>
    <t>Other Operating Budget</t>
  </si>
  <si>
    <t xml:space="preserve">2011/12 figure reflects 12% budget cut </t>
  </si>
  <si>
    <t xml:space="preserve">3 highest operating expenditures are 1)equipment, 2) furniture 3) utilities </t>
  </si>
  <si>
    <t>Annual Comparison</t>
  </si>
  <si>
    <t>Joyner Library Budget &amp; Expenditures 2005-2011</t>
  </si>
  <si>
    <t>20010-11</t>
  </si>
  <si>
    <t>2006-2007</t>
  </si>
  <si>
    <t>2005-2006</t>
  </si>
  <si>
    <t xml:space="preserve"> Current YTD  </t>
  </si>
  <si>
    <t>Operating Budget</t>
  </si>
  <si>
    <t>Acquisitions Budget</t>
  </si>
  <si>
    <t>Virtual Library Budget</t>
  </si>
  <si>
    <t>Library Network Budget</t>
  </si>
  <si>
    <t>Archives Budget</t>
  </si>
  <si>
    <t>2004-05</t>
  </si>
  <si>
    <t>OPERATING FUNDS</t>
  </si>
  <si>
    <t>Inflation $$'s book</t>
  </si>
  <si>
    <t>Enrollment Increase</t>
  </si>
  <si>
    <t>Conintuation Budget</t>
  </si>
  <si>
    <t>Library Fine Law Suit</t>
  </si>
  <si>
    <t>1xTransfer IR Server/Administ. Computers</t>
  </si>
  <si>
    <t>Feb 09  cut of 7.97 %</t>
  </si>
  <si>
    <t>9/10 cut of 17.9%</t>
  </si>
  <si>
    <t>9/10 cut of 17.9% Salaries</t>
  </si>
  <si>
    <t>09/10 Enrollment Increase</t>
  </si>
  <si>
    <t>09/10 AA Restored 1x</t>
  </si>
  <si>
    <t>01/11 - 1x $$'s  minus 1% cut</t>
  </si>
  <si>
    <t>01/11 - 1% cut from Operating</t>
  </si>
  <si>
    <t>01/11 - $201K to Reallocation Fund</t>
  </si>
  <si>
    <t>Oct 09/10 - AA restored - Perm</t>
  </si>
  <si>
    <t>Non Recurring Cut AA</t>
  </si>
  <si>
    <t>ACQUISITIONS</t>
  </si>
  <si>
    <t>Acq Budget - Continuation</t>
  </si>
  <si>
    <t>Acq Budget - 1% PACE Cut</t>
  </si>
  <si>
    <t>Lib 1 % PACE Cut</t>
  </si>
  <si>
    <t>09/10 AA cut 17.9%</t>
  </si>
  <si>
    <t>LSR EOY PH Admin WorkStations- Money Joe gave - we were in the red</t>
  </si>
  <si>
    <t>Virtual</t>
  </si>
  <si>
    <t>Oct 09/10 cut   17.9%</t>
  </si>
  <si>
    <t>Fiscal Year 08-09</t>
  </si>
  <si>
    <t>Spending Restrictions April 09</t>
  </si>
  <si>
    <t>Operating Funds lost at year end</t>
  </si>
  <si>
    <t>Acquisitions Funds lost at year end</t>
  </si>
  <si>
    <t>Virtual Funds lost at year end</t>
  </si>
  <si>
    <t xml:space="preserve">Projected </t>
  </si>
  <si>
    <t>2012-13</t>
  </si>
  <si>
    <t>2013-14</t>
  </si>
  <si>
    <t>2014-15</t>
  </si>
  <si>
    <t>Projected Buying Power with 7% Inflation</t>
  </si>
  <si>
    <t>Laupus Materials</t>
  </si>
  <si>
    <t>Joyner Acquisitions</t>
  </si>
  <si>
    <t xml:space="preserve"> Library Budgets 2011-2015 </t>
  </si>
  <si>
    <r>
      <t>2011-12</t>
    </r>
    <r>
      <rPr>
        <b/>
        <i/>
        <sz val="8"/>
        <color theme="1"/>
        <rFont val="Calibri"/>
        <family val="2"/>
        <scheme val="minor"/>
      </rPr>
      <t xml:space="preserve"> (Est.)</t>
    </r>
  </si>
  <si>
    <t>The Virtual Library @ ECU budget is used primarily to pay renewal fees for large e-journal packages that are critical to students, faculty and researchers across the Divisions of Academic Affairs and Health Sciences.  E-journals from the following publishers are paid for from the Virtual Library line: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</si>
  <si>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American Association for the Advancement of Science (AAAS)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</si>
  <si>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American Chemical Society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</si>
  <si>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Elsevier (Science Direct)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</si>
  <si>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Nature Publishing Group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</si>
  <si>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Oxford University Press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</si>
  <si>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Sage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</si>
  <si>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Springer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</si>
  <si>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Taylor &amp; Francis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</si>
  <si>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University of Chicago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</si>
  <si>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Wiley-Blackwell</t>
    </r>
  </si>
  <si>
    <t>The Virtual Library also pays for e-book collections (Annual Reviews, Knovel, McGraw-Hill, John Wiley &amp; Sons, Elsevier, and others), ASTM standards, and selected databases including Films on Demand Master Academic Collection, SciFinder Scholar, and JSTOR.</t>
  </si>
  <si>
    <t>*</t>
  </si>
  <si>
    <t>Virtual Library*</t>
  </si>
  <si>
    <t>E-journals from the following publishers are paid for from the Virtual Library line: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</si>
</sst>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9"/>
      <color indexed="47"/>
      <name val="Arial"/>
      <family val="2"/>
    </font>
    <font>
      <b/>
      <sz val="7.5"/>
      <color indexed="47"/>
      <name val="Arial"/>
      <family val="2"/>
    </font>
    <font>
      <b/>
      <sz val="8"/>
      <color indexed="47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b/>
      <sz val="7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7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5FF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6FE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5">
    <xf numFmtId="0" fontId="0" fillId="0" borderId="0" xfId="0"/>
    <xf numFmtId="164" fontId="0" fillId="0" borderId="0" xfId="0" applyNumberFormat="1"/>
    <xf numFmtId="0" fontId="4" fillId="0" borderId="1" xfId="0" applyFont="1" applyBorder="1"/>
    <xf numFmtId="0" fontId="5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13"/>
    <xf numFmtId="0" fontId="10" fillId="0" borderId="0" xfId="13" applyFont="1" applyFill="1"/>
    <xf numFmtId="0" fontId="8" fillId="0" borderId="0" xfId="13" applyFill="1"/>
    <xf numFmtId="14" fontId="11" fillId="0" borderId="0" xfId="13" applyNumberFormat="1" applyFont="1" applyAlignment="1">
      <alignment horizontal="left"/>
    </xf>
    <xf numFmtId="0" fontId="11" fillId="0" borderId="0" xfId="13" applyFont="1"/>
    <xf numFmtId="42" fontId="11" fillId="0" borderId="0" xfId="14" applyNumberFormat="1" applyFont="1" applyFill="1" applyAlignment="1">
      <alignment horizontal="right"/>
    </xf>
    <xf numFmtId="0" fontId="12" fillId="0" borderId="0" xfId="13" applyFont="1"/>
    <xf numFmtId="3" fontId="12" fillId="0" borderId="0" xfId="13" applyNumberFormat="1" applyFont="1"/>
    <xf numFmtId="0" fontId="12" fillId="0" borderId="0" xfId="13" applyFont="1" applyAlignment="1">
      <alignment horizontal="center"/>
    </xf>
    <xf numFmtId="4" fontId="12" fillId="0" borderId="0" xfId="13" applyNumberFormat="1" applyFont="1"/>
    <xf numFmtId="41" fontId="13" fillId="0" borderId="0" xfId="14" applyNumberFormat="1" applyFont="1" applyFill="1"/>
    <xf numFmtId="0" fontId="14" fillId="0" borderId="0" xfId="13" applyFont="1"/>
    <xf numFmtId="0" fontId="13" fillId="0" borderId="0" xfId="13" applyFont="1" applyAlignment="1">
      <alignment horizontal="center"/>
    </xf>
    <xf numFmtId="41" fontId="14" fillId="0" borderId="0" xfId="14" applyNumberFormat="1" applyFont="1" applyFill="1"/>
    <xf numFmtId="0" fontId="11" fillId="0" borderId="0" xfId="13" applyFont="1" applyFill="1"/>
    <xf numFmtId="3" fontId="15" fillId="0" borderId="0" xfId="13" applyNumberFormat="1" applyFont="1"/>
    <xf numFmtId="0" fontId="10" fillId="0" borderId="0" xfId="13" applyFont="1" applyAlignment="1">
      <alignment horizontal="center"/>
    </xf>
    <xf numFmtId="4" fontId="11" fillId="0" borderId="0" xfId="13" applyNumberFormat="1" applyFont="1"/>
    <xf numFmtId="0" fontId="14" fillId="0" borderId="0" xfId="13" applyFont="1" applyAlignment="1">
      <alignment horizontal="center"/>
    </xf>
    <xf numFmtId="0" fontId="11" fillId="0" borderId="0" xfId="13" applyFont="1" applyAlignment="1"/>
    <xf numFmtId="41" fontId="14" fillId="0" borderId="0" xfId="14" applyNumberFormat="1" applyFont="1" applyFill="1" applyAlignment="1">
      <alignment horizontal="center"/>
    </xf>
    <xf numFmtId="42" fontId="14" fillId="0" borderId="0" xfId="14" applyNumberFormat="1" applyFont="1" applyFill="1" applyAlignment="1">
      <alignment horizontal="center"/>
    </xf>
    <xf numFmtId="3" fontId="14" fillId="0" borderId="0" xfId="13" applyNumberFormat="1" applyFont="1" applyFill="1" applyAlignment="1">
      <alignment horizontal="center"/>
    </xf>
    <xf numFmtId="0" fontId="15" fillId="0" borderId="0" xfId="13" applyFont="1"/>
    <xf numFmtId="0" fontId="16" fillId="0" borderId="0" xfId="13" applyFont="1" applyAlignment="1">
      <alignment horizontal="center"/>
    </xf>
    <xf numFmtId="4" fontId="14" fillId="0" borderId="0" xfId="13" applyNumberFormat="1" applyFont="1" applyAlignment="1">
      <alignment horizontal="center"/>
    </xf>
    <xf numFmtId="0" fontId="16" fillId="0" borderId="0" xfId="13" applyFont="1" applyFill="1" applyAlignment="1">
      <alignment horizontal="center"/>
    </xf>
    <xf numFmtId="0" fontId="14" fillId="0" borderId="2" xfId="13" applyFont="1" applyBorder="1"/>
    <xf numFmtId="0" fontId="14" fillId="0" borderId="2" xfId="13" applyFont="1" applyBorder="1" applyAlignment="1">
      <alignment horizontal="center"/>
    </xf>
    <xf numFmtId="42" fontId="14" fillId="0" borderId="2" xfId="14" applyNumberFormat="1" applyFont="1" applyFill="1" applyBorder="1" applyAlignment="1">
      <alignment horizontal="center"/>
    </xf>
    <xf numFmtId="3" fontId="14" fillId="0" borderId="2" xfId="13" applyNumberFormat="1" applyFont="1" applyFill="1" applyBorder="1" applyAlignment="1">
      <alignment horizontal="center"/>
    </xf>
    <xf numFmtId="0" fontId="15" fillId="0" borderId="2" xfId="13" applyFont="1" applyBorder="1"/>
    <xf numFmtId="0" fontId="16" fillId="0" borderId="2" xfId="13" applyFont="1" applyBorder="1" applyAlignment="1">
      <alignment horizontal="center"/>
    </xf>
    <xf numFmtId="4" fontId="14" fillId="0" borderId="2" xfId="13" applyNumberFormat="1" applyFont="1" applyBorder="1" applyAlignment="1">
      <alignment horizontal="center"/>
    </xf>
    <xf numFmtId="41" fontId="14" fillId="0" borderId="2" xfId="14" applyNumberFormat="1" applyFont="1" applyFill="1" applyBorder="1"/>
    <xf numFmtId="41" fontId="14" fillId="0" borderId="2" xfId="14" applyNumberFormat="1" applyFont="1" applyFill="1" applyBorder="1" applyAlignment="1">
      <alignment horizontal="center"/>
    </xf>
    <xf numFmtId="0" fontId="14" fillId="0" borderId="2" xfId="13" applyFont="1" applyFill="1" applyBorder="1"/>
    <xf numFmtId="0" fontId="14" fillId="3" borderId="0" xfId="13" applyFont="1" applyFill="1"/>
    <xf numFmtId="0" fontId="17" fillId="3" borderId="0" xfId="13" applyFont="1" applyFill="1" applyBorder="1" applyAlignment="1">
      <alignment horizontal="center"/>
    </xf>
    <xf numFmtId="42" fontId="17" fillId="3" borderId="0" xfId="14" applyNumberFormat="1" applyFont="1" applyFill="1" applyBorder="1" applyAlignment="1">
      <alignment horizontal="center"/>
    </xf>
    <xf numFmtId="3" fontId="18" fillId="3" borderId="0" xfId="13" applyNumberFormat="1" applyFont="1" applyFill="1" applyBorder="1" applyAlignment="1">
      <alignment horizontal="center"/>
    </xf>
    <xf numFmtId="0" fontId="19" fillId="3" borderId="0" xfId="13" applyFont="1" applyFill="1" applyBorder="1" applyAlignment="1">
      <alignment horizontal="center"/>
    </xf>
    <xf numFmtId="4" fontId="20" fillId="3" borderId="0" xfId="13" applyNumberFormat="1" applyFont="1" applyFill="1" applyBorder="1" applyAlignment="1">
      <alignment horizontal="center"/>
    </xf>
    <xf numFmtId="41" fontId="20" fillId="3" borderId="0" xfId="14" applyNumberFormat="1" applyFont="1" applyFill="1" applyBorder="1"/>
    <xf numFmtId="42" fontId="20" fillId="3" borderId="3" xfId="14" applyNumberFormat="1" applyFont="1" applyFill="1" applyBorder="1"/>
    <xf numFmtId="41" fontId="20" fillId="3" borderId="4" xfId="14" applyNumberFormat="1" applyFont="1" applyFill="1" applyBorder="1"/>
    <xf numFmtId="0" fontId="21" fillId="4" borderId="0" xfId="13" applyFont="1" applyFill="1"/>
    <xf numFmtId="0" fontId="11" fillId="0" borderId="0" xfId="13" applyFont="1" applyBorder="1" applyAlignment="1">
      <alignment horizontal="center"/>
    </xf>
    <xf numFmtId="0" fontId="14" fillId="5" borderId="0" xfId="13" applyFont="1" applyFill="1" applyAlignment="1">
      <alignment horizontal="center"/>
    </xf>
    <xf numFmtId="42" fontId="11" fillId="0" borderId="0" xfId="14" applyNumberFormat="1" applyFont="1"/>
    <xf numFmtId="42" fontId="11" fillId="0" borderId="0" xfId="14" applyNumberFormat="1" applyFont="1" applyFill="1" applyBorder="1" applyAlignment="1">
      <alignment horizontal="center"/>
    </xf>
    <xf numFmtId="42" fontId="22" fillId="0" borderId="0" xfId="13" applyNumberFormat="1" applyFont="1" applyBorder="1" applyAlignment="1">
      <alignment horizontal="center"/>
    </xf>
    <xf numFmtId="42" fontId="16" fillId="0" borderId="0" xfId="13" applyNumberFormat="1" applyFont="1" applyBorder="1" applyAlignment="1">
      <alignment horizontal="center"/>
    </xf>
    <xf numFmtId="42" fontId="11" fillId="0" borderId="0" xfId="13" applyNumberFormat="1" applyFont="1"/>
    <xf numFmtId="42" fontId="11" fillId="0" borderId="0" xfId="13" applyNumberFormat="1" applyFont="1" applyBorder="1" applyAlignment="1">
      <alignment horizontal="center"/>
    </xf>
    <xf numFmtId="42" fontId="11" fillId="6" borderId="0" xfId="14" applyNumberFormat="1" applyFont="1" applyFill="1"/>
    <xf numFmtId="42" fontId="11" fillId="0" borderId="0" xfId="14" applyNumberFormat="1" applyFont="1" applyFill="1"/>
    <xf numFmtId="42" fontId="11" fillId="0" borderId="5" xfId="14" applyNumberFormat="1" applyFont="1" applyFill="1" applyBorder="1"/>
    <xf numFmtId="42" fontId="11" fillId="0" borderId="6" xfId="14" applyNumberFormat="1" applyFont="1" applyFill="1" applyBorder="1"/>
    <xf numFmtId="10" fontId="10" fillId="0" borderId="0" xfId="13" applyNumberFormat="1" applyFont="1"/>
    <xf numFmtId="10" fontId="11" fillId="0" borderId="0" xfId="13" applyNumberFormat="1" applyFont="1" applyFill="1"/>
    <xf numFmtId="0" fontId="11" fillId="0" borderId="0" xfId="13" applyFont="1" applyAlignment="1">
      <alignment horizontal="center"/>
    </xf>
    <xf numFmtId="0" fontId="14" fillId="5" borderId="0" xfId="13" applyFont="1" applyFill="1" applyBorder="1" applyAlignment="1">
      <alignment horizontal="center"/>
    </xf>
    <xf numFmtId="42" fontId="15" fillId="0" borderId="0" xfId="13" applyNumberFormat="1" applyFont="1" applyAlignment="1">
      <alignment horizontal="left"/>
    </xf>
    <xf numFmtId="42" fontId="16" fillId="0" borderId="0" xfId="13" applyNumberFormat="1" applyFont="1" applyAlignment="1">
      <alignment horizontal="center"/>
    </xf>
    <xf numFmtId="42" fontId="11" fillId="6" borderId="0" xfId="14" applyNumberFormat="1" applyFont="1" applyFill="1" applyBorder="1"/>
    <xf numFmtId="42" fontId="11" fillId="0" borderId="0" xfId="14" applyNumberFormat="1" applyFont="1" applyFill="1" applyBorder="1"/>
    <xf numFmtId="0" fontId="10" fillId="0" borderId="0" xfId="13" applyFont="1" applyBorder="1" applyAlignment="1">
      <alignment horizontal="right"/>
    </xf>
    <xf numFmtId="42" fontId="10" fillId="0" borderId="0" xfId="14" applyNumberFormat="1" applyFont="1" applyFill="1" applyBorder="1" applyAlignment="1">
      <alignment horizontal="left"/>
    </xf>
    <xf numFmtId="0" fontId="16" fillId="3" borderId="0" xfId="13" applyFont="1" applyFill="1" applyBorder="1" applyAlignment="1">
      <alignment horizontal="center"/>
    </xf>
    <xf numFmtId="42" fontId="14" fillId="3" borderId="0" xfId="14" applyNumberFormat="1" applyFont="1" applyFill="1" applyBorder="1" applyAlignment="1">
      <alignment horizontal="center"/>
    </xf>
    <xf numFmtId="42" fontId="22" fillId="3" borderId="0" xfId="13" applyNumberFormat="1" applyFont="1" applyFill="1" applyBorder="1" applyAlignment="1">
      <alignment horizontal="center"/>
    </xf>
    <xf numFmtId="42" fontId="16" fillId="3" borderId="0" xfId="13" applyNumberFormat="1" applyFont="1" applyFill="1" applyAlignment="1">
      <alignment horizontal="center"/>
    </xf>
    <xf numFmtId="42" fontId="11" fillId="3" borderId="0" xfId="13" applyNumberFormat="1" applyFont="1" applyFill="1" applyBorder="1" applyAlignment="1">
      <alignment horizontal="center"/>
    </xf>
    <xf numFmtId="42" fontId="11" fillId="3" borderId="0" xfId="14" applyNumberFormat="1" applyFont="1" applyFill="1" applyBorder="1"/>
    <xf numFmtId="42" fontId="11" fillId="3" borderId="5" xfId="14" applyNumberFormat="1" applyFont="1" applyFill="1" applyBorder="1"/>
    <xf numFmtId="42" fontId="11" fillId="3" borderId="6" xfId="14" applyNumberFormat="1" applyFont="1" applyFill="1" applyBorder="1"/>
    <xf numFmtId="0" fontId="10" fillId="2" borderId="0" xfId="13" applyFont="1" applyFill="1"/>
    <xf numFmtId="0" fontId="11" fillId="2" borderId="0" xfId="13" applyFont="1" applyFill="1"/>
    <xf numFmtId="42" fontId="15" fillId="0" borderId="0" xfId="13" applyNumberFormat="1" applyFont="1"/>
    <xf numFmtId="42" fontId="10" fillId="0" borderId="0" xfId="13" applyNumberFormat="1" applyFont="1" applyAlignment="1">
      <alignment horizontal="center"/>
    </xf>
    <xf numFmtId="0" fontId="23" fillId="0" borderId="0" xfId="13" applyFont="1" applyAlignment="1">
      <alignment horizontal="right"/>
    </xf>
    <xf numFmtId="42" fontId="23" fillId="0" borderId="0" xfId="14" applyNumberFormat="1" applyFont="1" applyFill="1" applyAlignment="1">
      <alignment horizontal="right"/>
    </xf>
    <xf numFmtId="42" fontId="23" fillId="0" borderId="0" xfId="13" applyNumberFormat="1" applyFont="1" applyAlignment="1">
      <alignment horizontal="left"/>
    </xf>
    <xf numFmtId="42" fontId="24" fillId="0" borderId="0" xfId="13" applyNumberFormat="1" applyFont="1" applyAlignment="1">
      <alignment horizontal="center"/>
    </xf>
    <xf numFmtId="42" fontId="23" fillId="0" borderId="0" xfId="13" applyNumberFormat="1" applyFont="1"/>
    <xf numFmtId="42" fontId="23" fillId="0" borderId="0" xfId="14" applyNumberFormat="1" applyFont="1" applyFill="1"/>
    <xf numFmtId="42" fontId="23" fillId="0" borderId="5" xfId="14" applyNumberFormat="1" applyFont="1" applyFill="1" applyBorder="1"/>
    <xf numFmtId="42" fontId="23" fillId="0" borderId="6" xfId="14" applyNumberFormat="1" applyFont="1" applyFill="1" applyBorder="1"/>
    <xf numFmtId="4" fontId="10" fillId="0" borderId="0" xfId="13" applyNumberFormat="1" applyFont="1" applyFill="1"/>
    <xf numFmtId="0" fontId="14" fillId="0" borderId="0" xfId="13" applyFont="1" applyAlignment="1">
      <alignment horizontal="left"/>
    </xf>
    <xf numFmtId="42" fontId="14" fillId="0" borderId="0" xfId="13" applyNumberFormat="1" applyFont="1" applyAlignment="1">
      <alignment horizontal="center"/>
    </xf>
    <xf numFmtId="0" fontId="14" fillId="3" borderId="0" xfId="13" applyFont="1" applyFill="1" applyAlignment="1">
      <alignment horizontal="left"/>
    </xf>
    <xf numFmtId="0" fontId="14" fillId="3" borderId="0" xfId="13" applyFont="1" applyFill="1" applyAlignment="1">
      <alignment horizontal="center"/>
    </xf>
    <xf numFmtId="42" fontId="11" fillId="3" borderId="0" xfId="14" applyNumberFormat="1" applyFont="1" applyFill="1" applyAlignment="1">
      <alignment horizontal="right"/>
    </xf>
    <xf numFmtId="42" fontId="11" fillId="3" borderId="0" xfId="13" applyNumberFormat="1" applyFont="1" applyFill="1"/>
    <xf numFmtId="42" fontId="15" fillId="3" borderId="0" xfId="13" applyNumberFormat="1" applyFont="1" applyFill="1"/>
    <xf numFmtId="42" fontId="10" fillId="3" borderId="0" xfId="13" applyNumberFormat="1" applyFont="1" applyFill="1" applyAlignment="1">
      <alignment horizontal="center"/>
    </xf>
    <xf numFmtId="42" fontId="11" fillId="3" borderId="6" xfId="13" applyNumberFormat="1" applyFont="1" applyFill="1" applyBorder="1"/>
    <xf numFmtId="10" fontId="10" fillId="2" borderId="0" xfId="13" applyNumberFormat="1" applyFont="1" applyFill="1"/>
    <xf numFmtId="0" fontId="8" fillId="2" borderId="0" xfId="13" applyFill="1"/>
    <xf numFmtId="41" fontId="11" fillId="0" borderId="0" xfId="14" applyNumberFormat="1" applyFont="1" applyFill="1"/>
    <xf numFmtId="41" fontId="11" fillId="0" borderId="6" xfId="14" applyNumberFormat="1" applyFont="1" applyFill="1" applyBorder="1"/>
    <xf numFmtId="41" fontId="11" fillId="6" borderId="0" xfId="13" applyNumberFormat="1" applyFont="1" applyFill="1"/>
    <xf numFmtId="41" fontId="11" fillId="0" borderId="0" xfId="13" applyNumberFormat="1" applyFont="1" applyFill="1"/>
    <xf numFmtId="42" fontId="11" fillId="0" borderId="5" xfId="13" applyNumberFormat="1" applyFont="1" applyFill="1" applyBorder="1"/>
    <xf numFmtId="41" fontId="11" fillId="0" borderId="6" xfId="13" applyNumberFormat="1" applyFont="1" applyFill="1" applyBorder="1"/>
    <xf numFmtId="42" fontId="11" fillId="0" borderId="0" xfId="13" applyNumberFormat="1" applyFont="1" applyFill="1"/>
    <xf numFmtId="0" fontId="14" fillId="0" borderId="0" xfId="13" applyFont="1" applyAlignment="1">
      <alignment wrapText="1"/>
    </xf>
    <xf numFmtId="0" fontId="8" fillId="5" borderId="0" xfId="13" applyFill="1"/>
    <xf numFmtId="3" fontId="11" fillId="5" borderId="0" xfId="13" applyNumberFormat="1" applyFont="1" applyFill="1" applyAlignment="1" applyProtection="1">
      <alignment horizontal="right"/>
      <protection locked="0" hidden="1"/>
    </xf>
    <xf numFmtId="0" fontId="25" fillId="3" borderId="0" xfId="13" applyFont="1" applyFill="1" applyAlignment="1">
      <alignment horizontal="right"/>
    </xf>
    <xf numFmtId="42" fontId="11" fillId="3" borderId="6" xfId="14" applyNumberFormat="1" applyFont="1" applyFill="1" applyBorder="1" applyAlignment="1">
      <alignment horizontal="right"/>
    </xf>
    <xf numFmtId="0" fontId="25" fillId="0" borderId="0" xfId="13" applyFont="1" applyFill="1" applyAlignment="1">
      <alignment horizontal="right"/>
    </xf>
    <xf numFmtId="0" fontId="14" fillId="0" borderId="0" xfId="13" applyFont="1" applyFill="1" applyAlignment="1">
      <alignment horizontal="center"/>
    </xf>
    <xf numFmtId="42" fontId="11" fillId="0" borderId="5" xfId="14" applyNumberFormat="1" applyFont="1" applyFill="1" applyBorder="1" applyAlignment="1">
      <alignment horizontal="right"/>
    </xf>
    <xf numFmtId="42" fontId="11" fillId="0" borderId="6" xfId="14" applyNumberFormat="1" applyFont="1" applyFill="1" applyBorder="1" applyAlignment="1">
      <alignment horizontal="right"/>
    </xf>
    <xf numFmtId="0" fontId="14" fillId="7" borderId="0" xfId="13" applyFont="1" applyFill="1" applyAlignment="1">
      <alignment horizontal="left"/>
    </xf>
    <xf numFmtId="0" fontId="14" fillId="7" borderId="0" xfId="13" applyFont="1" applyFill="1" applyAlignment="1">
      <alignment horizontal="center"/>
    </xf>
    <xf numFmtId="42" fontId="11" fillId="7" borderId="0" xfId="14" applyNumberFormat="1" applyFont="1" applyFill="1" applyAlignment="1">
      <alignment horizontal="right"/>
    </xf>
    <xf numFmtId="42" fontId="11" fillId="2" borderId="6" xfId="14" applyNumberFormat="1" applyFont="1" applyFill="1" applyBorder="1" applyAlignment="1">
      <alignment horizontal="right"/>
    </xf>
    <xf numFmtId="42" fontId="11" fillId="7" borderId="6" xfId="14" applyNumberFormat="1" applyFont="1" applyFill="1" applyBorder="1" applyAlignment="1">
      <alignment horizontal="right"/>
    </xf>
    <xf numFmtId="10" fontId="10" fillId="7" borderId="0" xfId="13" applyNumberFormat="1" applyFont="1" applyFill="1"/>
    <xf numFmtId="0" fontId="8" fillId="8" borderId="0" xfId="13" applyFill="1"/>
    <xf numFmtId="0" fontId="8" fillId="7" borderId="0" xfId="13" applyFill="1"/>
    <xf numFmtId="42" fontId="11" fillId="8" borderId="6" xfId="14" applyNumberFormat="1" applyFont="1" applyFill="1" applyBorder="1" applyAlignment="1">
      <alignment horizontal="right"/>
    </xf>
    <xf numFmtId="0" fontId="14" fillId="2" borderId="0" xfId="13" applyFont="1" applyFill="1" applyAlignment="1">
      <alignment horizontal="left"/>
    </xf>
    <xf numFmtId="0" fontId="14" fillId="2" borderId="0" xfId="13" applyFont="1" applyFill="1" applyAlignment="1">
      <alignment horizontal="center"/>
    </xf>
    <xf numFmtId="42" fontId="11" fillId="2" borderId="0" xfId="14" applyNumberFormat="1" applyFont="1" applyFill="1" applyAlignment="1">
      <alignment horizontal="right"/>
    </xf>
    <xf numFmtId="42" fontId="11" fillId="2" borderId="5" xfId="14" applyNumberFormat="1" applyFont="1" applyFill="1" applyBorder="1" applyAlignment="1">
      <alignment horizontal="right"/>
    </xf>
    <xf numFmtId="0" fontId="14" fillId="0" borderId="0" xfId="13" applyFont="1" applyFill="1" applyAlignment="1">
      <alignment horizontal="left"/>
    </xf>
    <xf numFmtId="10" fontId="10" fillId="0" borderId="0" xfId="13" applyNumberFormat="1" applyFont="1" applyFill="1"/>
    <xf numFmtId="0" fontId="26" fillId="9" borderId="0" xfId="13" applyFont="1" applyFill="1"/>
    <xf numFmtId="0" fontId="8" fillId="9" borderId="0" xfId="13" applyFill="1"/>
    <xf numFmtId="42" fontId="14" fillId="9" borderId="0" xfId="14" applyNumberFormat="1" applyFont="1" applyFill="1" applyAlignment="1">
      <alignment horizontal="right"/>
    </xf>
    <xf numFmtId="10" fontId="16" fillId="9" borderId="0" xfId="13" applyNumberFormat="1" applyFont="1" applyFill="1"/>
    <xf numFmtId="164" fontId="11" fillId="0" borderId="0" xfId="13" applyNumberFormat="1" applyFont="1"/>
    <xf numFmtId="0" fontId="8" fillId="0" borderId="0" xfId="13" applyFont="1" applyAlignment="1">
      <alignment wrapText="1"/>
    </xf>
    <xf numFmtId="14" fontId="11" fillId="0" borderId="0" xfId="15" applyNumberFormat="1" applyFont="1" applyAlignment="1">
      <alignment horizontal="left" wrapText="1"/>
    </xf>
    <xf numFmtId="0" fontId="14" fillId="0" borderId="0" xfId="15" applyFont="1" applyAlignment="1">
      <alignment horizontal="center"/>
    </xf>
    <xf numFmtId="3" fontId="15" fillId="0" borderId="0" xfId="15" applyNumberFormat="1" applyFont="1"/>
    <xf numFmtId="0" fontId="10" fillId="0" borderId="0" xfId="15" applyFont="1" applyAlignment="1">
      <alignment horizontal="center"/>
    </xf>
    <xf numFmtId="4" fontId="11" fillId="0" borderId="0" xfId="15" applyNumberFormat="1" applyFont="1"/>
    <xf numFmtId="0" fontId="10" fillId="0" borderId="0" xfId="15" applyFont="1" applyFill="1"/>
    <xf numFmtId="0" fontId="11" fillId="0" borderId="0" xfId="15" applyFont="1" applyFill="1"/>
    <xf numFmtId="0" fontId="11" fillId="0" borderId="7" xfId="15" applyFont="1" applyBorder="1"/>
    <xf numFmtId="0" fontId="11" fillId="0" borderId="7" xfId="15" applyFont="1" applyBorder="1" applyAlignment="1"/>
    <xf numFmtId="41" fontId="14" fillId="0" borderId="7" xfId="14" applyNumberFormat="1" applyFont="1" applyFill="1" applyBorder="1" applyAlignment="1">
      <alignment horizontal="center"/>
    </xf>
    <xf numFmtId="0" fontId="10" fillId="0" borderId="7" xfId="15" applyFont="1" applyFill="1" applyBorder="1"/>
    <xf numFmtId="0" fontId="14" fillId="0" borderId="7" xfId="15" applyFont="1" applyFill="1" applyBorder="1" applyAlignment="1">
      <alignment horizontal="center"/>
    </xf>
    <xf numFmtId="0" fontId="11" fillId="0" borderId="7" xfId="15" applyFont="1" applyFill="1" applyBorder="1"/>
    <xf numFmtId="0" fontId="11" fillId="0" borderId="0" xfId="15" applyFont="1" applyBorder="1"/>
    <xf numFmtId="0" fontId="11" fillId="0" borderId="0" xfId="15" applyFont="1" applyBorder="1" applyAlignment="1"/>
    <xf numFmtId="0" fontId="14" fillId="0" borderId="0" xfId="15" applyFont="1" applyBorder="1" applyAlignment="1">
      <alignment horizontal="center"/>
    </xf>
    <xf numFmtId="41" fontId="14" fillId="0" borderId="0" xfId="14" applyNumberFormat="1" applyFont="1" applyFill="1" applyBorder="1" applyAlignment="1">
      <alignment horizontal="center"/>
    </xf>
    <xf numFmtId="0" fontId="11" fillId="0" borderId="0" xfId="15" applyFont="1" applyFill="1" applyBorder="1"/>
    <xf numFmtId="0" fontId="14" fillId="0" borderId="0" xfId="15" applyFont="1" applyFill="1" applyBorder="1" applyAlignment="1">
      <alignment horizontal="center"/>
    </xf>
    <xf numFmtId="0" fontId="27" fillId="0" borderId="0" xfId="15" applyFont="1"/>
    <xf numFmtId="0" fontId="8" fillId="0" borderId="0" xfId="15"/>
    <xf numFmtId="6" fontId="11" fillId="0" borderId="0" xfId="15" applyNumberFormat="1" applyFont="1"/>
    <xf numFmtId="0" fontId="8" fillId="0" borderId="0" xfId="15" applyFont="1"/>
    <xf numFmtId="6" fontId="11" fillId="0" borderId="0" xfId="14" applyNumberFormat="1" applyFont="1" applyFill="1"/>
    <xf numFmtId="6" fontId="11" fillId="10" borderId="0" xfId="14" applyNumberFormat="1" applyFont="1" applyFill="1"/>
    <xf numFmtId="6" fontId="11" fillId="0" borderId="0" xfId="15" applyNumberFormat="1" applyFont="1" applyFill="1"/>
    <xf numFmtId="6" fontId="11" fillId="10" borderId="0" xfId="15" applyNumberFormat="1" applyFont="1" applyFill="1"/>
    <xf numFmtId="6" fontId="11" fillId="10" borderId="0" xfId="14" applyNumberFormat="1" applyFont="1" applyFill="1" applyAlignment="1">
      <alignment horizontal="right"/>
    </xf>
    <xf numFmtId="0" fontId="0" fillId="0" borderId="0" xfId="15" applyFont="1"/>
    <xf numFmtId="6" fontId="11" fillId="0" borderId="0" xfId="14" applyNumberFormat="1" applyFont="1" applyFill="1" applyAlignment="1">
      <alignment horizontal="right"/>
    </xf>
    <xf numFmtId="0" fontId="11" fillId="0" borderId="0" xfId="15" applyFont="1"/>
    <xf numFmtId="6" fontId="11" fillId="11" borderId="0" xfId="14" applyNumberFormat="1" applyFont="1" applyFill="1" applyAlignment="1">
      <alignment horizontal="right"/>
    </xf>
    <xf numFmtId="16" fontId="8" fillId="0" borderId="0" xfId="15" applyNumberFormat="1" applyFont="1"/>
    <xf numFmtId="0" fontId="1" fillId="0" borderId="0" xfId="16"/>
    <xf numFmtId="0" fontId="12" fillId="0" borderId="0" xfId="15" applyFont="1"/>
    <xf numFmtId="0" fontId="8" fillId="0" borderId="0" xfId="15" applyFont="1" applyFill="1"/>
    <xf numFmtId="0" fontId="8" fillId="0" borderId="0" xfId="15" applyFill="1"/>
    <xf numFmtId="6" fontId="28" fillId="0" borderId="0" xfId="16" applyNumberFormat="1" applyFont="1"/>
    <xf numFmtId="164" fontId="11" fillId="0" borderId="0" xfId="15" applyNumberFormat="1" applyFont="1"/>
    <xf numFmtId="14" fontId="11" fillId="0" borderId="0" xfId="15" applyNumberFormat="1" applyFont="1" applyAlignment="1">
      <alignment horizontal="left"/>
    </xf>
    <xf numFmtId="0" fontId="5" fillId="0" borderId="1" xfId="0" applyFont="1" applyFill="1" applyBorder="1"/>
    <xf numFmtId="0" fontId="0" fillId="0" borderId="1" xfId="0" applyBorder="1"/>
    <xf numFmtId="0" fontId="4" fillId="0" borderId="1" xfId="0" applyFont="1" applyFill="1" applyBorder="1"/>
    <xf numFmtId="42" fontId="34" fillId="2" borderId="1" xfId="14" applyNumberFormat="1" applyFont="1" applyFill="1" applyBorder="1" applyAlignment="1">
      <alignment horizontal="right"/>
    </xf>
    <xf numFmtId="165" fontId="4" fillId="0" borderId="1" xfId="0" applyNumberFormat="1" applyFont="1" applyBorder="1"/>
    <xf numFmtId="0" fontId="0" fillId="0" borderId="0" xfId="0" applyAlignment="1">
      <alignment horizontal="left" indent="5"/>
    </xf>
    <xf numFmtId="42" fontId="9" fillId="0" borderId="0" xfId="14" applyNumberFormat="1" applyFont="1" applyFill="1" applyAlignment="1">
      <alignment horizontal="center"/>
    </xf>
    <xf numFmtId="0" fontId="14" fillId="0" borderId="0" xfId="13" applyFont="1" applyAlignment="1">
      <alignment horizontal="center"/>
    </xf>
    <xf numFmtId="0" fontId="14" fillId="0" borderId="7" xfId="15" applyFont="1" applyBorder="1" applyAlignment="1">
      <alignment horizontal="center"/>
    </xf>
  </cellXfs>
  <cellStyles count="58">
    <cellStyle name="Currency 2" xfId="1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Normal 2" xfId="13"/>
    <cellStyle name="Normal 2 2" xfId="15"/>
    <cellStyle name="Normal 2 3" xfId="16"/>
    <cellStyle name="Normal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ECU</a:t>
            </a:r>
            <a:r>
              <a:rPr lang="en-US" baseline="0"/>
              <a:t> Libraries Budgets 2007-2011</a:t>
            </a:r>
          </a:p>
          <a:p>
            <a:pPr>
              <a:defRPr/>
            </a:pPr>
            <a:endParaRPr lang="en-US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8.9799317623148606E-2"/>
          <c:y val="4.3373493975903663E-2"/>
          <c:w val="0.76170105989815473"/>
          <c:h val="0.90759852006451003"/>
        </c:manualLayout>
      </c:layout>
      <c:bar3DChart>
        <c:barDir val="col"/>
        <c:grouping val="stacked"/>
        <c:ser>
          <c:idx val="0"/>
          <c:order val="0"/>
          <c:tx>
            <c:strRef>
              <c:f>'ECU Libraries'!$A$4</c:f>
              <c:strCache>
                <c:ptCount val="1"/>
                <c:pt idx="0">
                  <c:v>Joyner</c:v>
                </c:pt>
              </c:strCache>
            </c:strRef>
          </c:tx>
          <c:cat>
            <c:strRef>
              <c:f>'ECU Libraries'!$B$3:$F$3</c:f>
              <c:strCache>
                <c:ptCount val="5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 (Est.)</c:v>
                </c:pt>
              </c:strCache>
            </c:strRef>
          </c:cat>
          <c:val>
            <c:numRef>
              <c:f>'ECU Libraries'!$B$4:$F$4</c:f>
              <c:numCache>
                <c:formatCode>"$"#,##0</c:formatCode>
                <c:ptCount val="5"/>
                <c:pt idx="0">
                  <c:v>11534171</c:v>
                </c:pt>
                <c:pt idx="1">
                  <c:v>9975544</c:v>
                </c:pt>
                <c:pt idx="2">
                  <c:v>10339595</c:v>
                </c:pt>
                <c:pt idx="3">
                  <c:v>10355792</c:v>
                </c:pt>
                <c:pt idx="4">
                  <c:v>9501615</c:v>
                </c:pt>
              </c:numCache>
            </c:numRef>
          </c:val>
        </c:ser>
        <c:ser>
          <c:idx val="1"/>
          <c:order val="1"/>
          <c:tx>
            <c:strRef>
              <c:f>'ECU Libraries'!$A$5</c:f>
              <c:strCache>
                <c:ptCount val="1"/>
                <c:pt idx="0">
                  <c:v>Laupus</c:v>
                </c:pt>
              </c:strCache>
            </c:strRef>
          </c:tx>
          <c:cat>
            <c:strRef>
              <c:f>'ECU Libraries'!$B$3:$F$3</c:f>
              <c:strCache>
                <c:ptCount val="5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 (Est.)</c:v>
                </c:pt>
              </c:strCache>
            </c:strRef>
          </c:cat>
          <c:val>
            <c:numRef>
              <c:f>'ECU Libraries'!$B$5:$F$5</c:f>
              <c:numCache>
                <c:formatCode>"$"#,##0</c:formatCode>
                <c:ptCount val="5"/>
                <c:pt idx="0">
                  <c:v>4892664</c:v>
                </c:pt>
                <c:pt idx="1">
                  <c:v>4796687</c:v>
                </c:pt>
                <c:pt idx="2">
                  <c:v>4905520</c:v>
                </c:pt>
                <c:pt idx="3">
                  <c:v>4598339</c:v>
                </c:pt>
                <c:pt idx="4">
                  <c:v>4159393</c:v>
                </c:pt>
              </c:numCache>
            </c:numRef>
          </c:val>
        </c:ser>
        <c:ser>
          <c:idx val="2"/>
          <c:order val="2"/>
          <c:tx>
            <c:strRef>
              <c:f>'ECU Libraries'!$A$6</c:f>
              <c:strCache>
                <c:ptCount val="1"/>
                <c:pt idx="0">
                  <c:v>Virtual Library*</c:v>
                </c:pt>
              </c:strCache>
            </c:strRef>
          </c:tx>
          <c:cat>
            <c:strRef>
              <c:f>'ECU Libraries'!$B$3:$F$3</c:f>
              <c:strCache>
                <c:ptCount val="5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 (Est.)</c:v>
                </c:pt>
              </c:strCache>
            </c:strRef>
          </c:cat>
          <c:val>
            <c:numRef>
              <c:f>'ECU Libraries'!$B$6:$F$6</c:f>
              <c:numCache>
                <c:formatCode>"$"#,##0</c:formatCode>
                <c:ptCount val="5"/>
                <c:pt idx="0">
                  <c:v>2075539</c:v>
                </c:pt>
                <c:pt idx="1">
                  <c:v>1989684</c:v>
                </c:pt>
                <c:pt idx="2">
                  <c:v>2296633</c:v>
                </c:pt>
                <c:pt idx="3">
                  <c:v>2669679</c:v>
                </c:pt>
                <c:pt idx="4">
                  <c:v>2135743</c:v>
                </c:pt>
              </c:numCache>
            </c:numRef>
          </c:val>
        </c:ser>
        <c:shape val="cylinder"/>
        <c:axId val="89698688"/>
        <c:axId val="89700224"/>
        <c:axId val="0"/>
      </c:bar3DChart>
      <c:catAx>
        <c:axId val="89698688"/>
        <c:scaling>
          <c:orientation val="minMax"/>
        </c:scaling>
        <c:axPos val="b"/>
        <c:tickLblPos val="nextTo"/>
        <c:crossAx val="89700224"/>
        <c:crosses val="autoZero"/>
        <c:auto val="1"/>
        <c:lblAlgn val="ctr"/>
        <c:lblOffset val="100"/>
      </c:catAx>
      <c:valAx>
        <c:axId val="89700224"/>
        <c:scaling>
          <c:orientation val="minMax"/>
        </c:scaling>
        <c:axPos val="l"/>
        <c:majorGridlines/>
        <c:numFmt formatCode="&quot;$&quot;#,##0" sourceLinked="1"/>
        <c:tickLblPos val="nextTo"/>
        <c:crossAx val="896986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Library</a:t>
            </a:r>
            <a:r>
              <a:rPr lang="en-US" baseline="0"/>
              <a:t> Materials Budgets 2011-15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'Budgets 2011-15'!$A$6</c:f>
              <c:strCache>
                <c:ptCount val="1"/>
                <c:pt idx="0">
                  <c:v>Joyner</c:v>
                </c:pt>
              </c:strCache>
            </c:strRef>
          </c:tx>
          <c:cat>
            <c:strRef>
              <c:f>'Budgets 2011-15'!$B$5:$I$5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'Budgets 2011-15'!$B$6:$I$6</c:f>
            </c:numRef>
          </c:val>
          <c:shape val="box"/>
        </c:ser>
        <c:ser>
          <c:idx val="1"/>
          <c:order val="1"/>
          <c:tx>
            <c:strRef>
              <c:f>'Budgets 2011-15'!$A$7</c:f>
              <c:strCache>
                <c:ptCount val="1"/>
                <c:pt idx="0">
                  <c:v>Laupus</c:v>
                </c:pt>
              </c:strCache>
            </c:strRef>
          </c:tx>
          <c:cat>
            <c:strRef>
              <c:f>'Budgets 2011-15'!$B$5:$I$5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'Budgets 2011-15'!$B$7:$I$7</c:f>
            </c:numRef>
          </c:val>
          <c:shape val="box"/>
        </c:ser>
        <c:ser>
          <c:idx val="2"/>
          <c:order val="2"/>
          <c:tx>
            <c:strRef>
              <c:f>'Budgets 2011-15'!$A$8</c:f>
              <c:strCache>
                <c:ptCount val="1"/>
                <c:pt idx="0">
                  <c:v>Laupus Materials</c:v>
                </c:pt>
              </c:strCache>
            </c:strRef>
          </c:tx>
          <c:cat>
            <c:strRef>
              <c:f>'Budgets 2011-15'!$B$5:$I$5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'Budgets 2011-15'!$B$8:$I$8</c:f>
              <c:numCache>
                <c:formatCode>_("$"* #,##0_);_("$"* \(#,##0\);_("$"* "-"??_);_(@_)</c:formatCode>
                <c:ptCount val="5"/>
                <c:pt idx="0" formatCode="_(&quot;$&quot;* #,##0_);_(&quot;$&quot;* \(#,##0\);_(&quot;$&quot;* &quot;-&quot;_);_(@_)">
                  <c:v>804354</c:v>
                </c:pt>
                <c:pt idx="1">
                  <c:v>748049.22000000009</c:v>
                </c:pt>
                <c:pt idx="2">
                  <c:v>695685.77460000012</c:v>
                </c:pt>
                <c:pt idx="3">
                  <c:v>646987.7703780001</c:v>
                </c:pt>
                <c:pt idx="4">
                  <c:v>601698.62645154016</c:v>
                </c:pt>
              </c:numCache>
            </c:numRef>
          </c:val>
        </c:ser>
        <c:ser>
          <c:idx val="3"/>
          <c:order val="3"/>
          <c:tx>
            <c:strRef>
              <c:f>'Budgets 2011-15'!$A$9</c:f>
              <c:strCache>
                <c:ptCount val="1"/>
                <c:pt idx="0">
                  <c:v>Joyner Acquisitions</c:v>
                </c:pt>
              </c:strCache>
            </c:strRef>
          </c:tx>
          <c:cat>
            <c:strRef>
              <c:f>'Budgets 2011-15'!$B$5:$I$5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'Budgets 2011-15'!$B$9:$I$9</c:f>
              <c:numCache>
                <c:formatCode>_("$"* #,##0_);_("$"* \(#,##0\);_("$"* "-"??_);_(@_)</c:formatCode>
                <c:ptCount val="5"/>
                <c:pt idx="0" formatCode="_(&quot;$&quot;* #,##0_);_(&quot;$&quot;* \(#,##0\);_(&quot;$&quot;* &quot;-&quot;_);_(@_)">
                  <c:v>1918641</c:v>
                </c:pt>
                <c:pt idx="1">
                  <c:v>1784336.1300000001</c:v>
                </c:pt>
                <c:pt idx="2">
                  <c:v>1659432.6009000002</c:v>
                </c:pt>
                <c:pt idx="3">
                  <c:v>1543272.3188370003</c:v>
                </c:pt>
                <c:pt idx="4">
                  <c:v>1435243.2565184103</c:v>
                </c:pt>
              </c:numCache>
            </c:numRef>
          </c:val>
        </c:ser>
        <c:ser>
          <c:idx val="4"/>
          <c:order val="4"/>
          <c:tx>
            <c:strRef>
              <c:f>'Budgets 2011-15'!$A$10</c:f>
              <c:strCache>
                <c:ptCount val="1"/>
                <c:pt idx="0">
                  <c:v>Virtual Library</c:v>
                </c:pt>
              </c:strCache>
            </c:strRef>
          </c:tx>
          <c:cat>
            <c:strRef>
              <c:f>'Budgets 2011-15'!$B$5:$I$5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'Budgets 2011-15'!$B$10:$I$10</c:f>
              <c:numCache>
                <c:formatCode>"$"#,##0</c:formatCode>
                <c:ptCount val="5"/>
                <c:pt idx="0">
                  <c:v>2135743</c:v>
                </c:pt>
                <c:pt idx="1">
                  <c:v>1986240.99</c:v>
                </c:pt>
                <c:pt idx="2">
                  <c:v>1847204.1207000001</c:v>
                </c:pt>
                <c:pt idx="3">
                  <c:v>1717899.8322510002</c:v>
                </c:pt>
                <c:pt idx="4">
                  <c:v>1597646.8439934303</c:v>
                </c:pt>
              </c:numCache>
            </c:numRef>
          </c:val>
        </c:ser>
        <c:shape val="cylinder"/>
        <c:axId val="91490176"/>
        <c:axId val="93552640"/>
        <c:axId val="0"/>
      </c:bar3DChart>
      <c:catAx>
        <c:axId val="91490176"/>
        <c:scaling>
          <c:orientation val="minMax"/>
        </c:scaling>
        <c:axPos val="b"/>
        <c:tickLblPos val="nextTo"/>
        <c:crossAx val="93552640"/>
        <c:crosses val="autoZero"/>
        <c:auto val="1"/>
        <c:lblAlgn val="ctr"/>
        <c:lblOffset val="100"/>
      </c:catAx>
      <c:valAx>
        <c:axId val="93552640"/>
        <c:scaling>
          <c:orientation val="minMax"/>
        </c:scaling>
        <c:axPos val="l"/>
        <c:majorGridlines/>
        <c:numFmt formatCode="_(&quot;$&quot;* #,##0_);_(&quot;$&quot;* \(#,##0\);_(&quot;$&quot;* &quot;-&quot;_);_(@_)" sourceLinked="1"/>
        <c:tickLblPos val="nextTo"/>
        <c:crossAx val="914901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17</xdr:row>
      <xdr:rowOff>127000</xdr:rowOff>
    </xdr:from>
    <xdr:to>
      <xdr:col>10</xdr:col>
      <xdr:colOff>457200</xdr:colOff>
      <xdr:row>47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15</xdr:row>
      <xdr:rowOff>114300</xdr:rowOff>
    </xdr:from>
    <xdr:to>
      <xdr:col>11</xdr:col>
      <xdr:colOff>685800</xdr:colOff>
      <xdr:row>35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cu.edu/Documents%20and%20Settings/boyerl/Local%20Settings/Temporary%20Internet%20Files/Content.Outlook/GJ8WIT6N/Bud%2005-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1">
          <cell r="W71">
            <v>0</v>
          </cell>
        </row>
        <row r="91">
          <cell r="W91">
            <v>0</v>
          </cell>
        </row>
        <row r="109">
          <cell r="W10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48" workbookViewId="0">
      <selection activeCell="N53" sqref="N53"/>
    </sheetView>
  </sheetViews>
  <sheetFormatPr defaultColWidth="8.85546875" defaultRowHeight="15"/>
  <cols>
    <col min="1" max="1" width="21.28515625" customWidth="1"/>
    <col min="2" max="2" width="20.140625" customWidth="1"/>
    <col min="3" max="3" width="22.42578125" customWidth="1"/>
    <col min="4" max="4" width="20.42578125" customWidth="1"/>
    <col min="5" max="5" width="21.42578125" customWidth="1"/>
    <col min="6" max="6" width="17.7109375" customWidth="1"/>
  </cols>
  <sheetData>
    <row r="1" spans="1:6" ht="21">
      <c r="C1" s="7" t="s">
        <v>13</v>
      </c>
      <c r="D1" s="6"/>
    </row>
    <row r="3" spans="1:6" ht="18.75">
      <c r="A3" s="2"/>
      <c r="B3" s="3" t="s">
        <v>7</v>
      </c>
      <c r="C3" s="3" t="s">
        <v>3</v>
      </c>
      <c r="D3" s="3" t="s">
        <v>4</v>
      </c>
      <c r="E3" s="3" t="s">
        <v>5</v>
      </c>
      <c r="F3" s="3" t="s">
        <v>159</v>
      </c>
    </row>
    <row r="4" spans="1:6" ht="18.75">
      <c r="A4" s="2" t="s">
        <v>0</v>
      </c>
      <c r="B4" s="4">
        <f>13609710-2075539</f>
        <v>11534171</v>
      </c>
      <c r="C4" s="4">
        <f>11965228-1989684</f>
        <v>9975544</v>
      </c>
      <c r="D4" s="4">
        <f>12636228-2296633</f>
        <v>10339595</v>
      </c>
      <c r="E4" s="4">
        <f>13025471-2669679</f>
        <v>10355792</v>
      </c>
      <c r="F4" s="4">
        <f>E4-F11</f>
        <v>9501615</v>
      </c>
    </row>
    <row r="5" spans="1:6" ht="18.75">
      <c r="A5" s="2" t="s">
        <v>1</v>
      </c>
      <c r="B5" s="4">
        <v>4892664</v>
      </c>
      <c r="C5" s="4">
        <v>4796687</v>
      </c>
      <c r="D5" s="4">
        <v>4905520</v>
      </c>
      <c r="E5" s="4">
        <v>4598339</v>
      </c>
      <c r="F5" s="4">
        <v>4159393</v>
      </c>
    </row>
    <row r="6" spans="1:6" ht="18.75">
      <c r="A6" s="2" t="s">
        <v>173</v>
      </c>
      <c r="B6" s="4">
        <v>2075539</v>
      </c>
      <c r="C6" s="5">
        <v>1989684</v>
      </c>
      <c r="D6" s="4">
        <v>2296633</v>
      </c>
      <c r="E6" s="4">
        <v>2669679</v>
      </c>
      <c r="F6" s="4">
        <f>E6-F12</f>
        <v>2135743</v>
      </c>
    </row>
    <row r="8" spans="1:6" hidden="1">
      <c r="E8" t="s">
        <v>9</v>
      </c>
      <c r="F8" s="1">
        <v>106002</v>
      </c>
    </row>
    <row r="9" spans="1:6" hidden="1">
      <c r="E9" t="s">
        <v>10</v>
      </c>
      <c r="F9" s="1">
        <v>268515</v>
      </c>
    </row>
    <row r="10" spans="1:6" hidden="1">
      <c r="E10" t="s">
        <v>11</v>
      </c>
      <c r="F10" s="1">
        <v>479660</v>
      </c>
    </row>
    <row r="11" spans="1:6" hidden="1">
      <c r="E11" t="s">
        <v>12</v>
      </c>
      <c r="F11" s="1">
        <f>SUM(F8:F10)</f>
        <v>854177</v>
      </c>
    </row>
    <row r="12" spans="1:6" hidden="1">
      <c r="E12" t="s">
        <v>2</v>
      </c>
      <c r="F12" s="1">
        <v>533936</v>
      </c>
    </row>
    <row r="13" spans="1:6" hidden="1">
      <c r="E13" t="s">
        <v>8</v>
      </c>
      <c r="F13" s="1">
        <f>SUM(F11:F12)</f>
        <v>1388113</v>
      </c>
    </row>
    <row r="14" spans="1:6" hidden="1"/>
    <row r="49" spans="1:15" ht="12.75" customHeight="1">
      <c r="A49" t="s">
        <v>172</v>
      </c>
    </row>
    <row r="50" spans="1:15">
      <c r="A50" t="s">
        <v>160</v>
      </c>
      <c r="N50" t="s">
        <v>15</v>
      </c>
      <c r="O50" t="s">
        <v>15</v>
      </c>
    </row>
    <row r="51" spans="1:15">
      <c r="A51" t="s">
        <v>174</v>
      </c>
    </row>
    <row r="53" spans="1:15">
      <c r="A53" s="191" t="s">
        <v>161</v>
      </c>
    </row>
    <row r="54" spans="1:15">
      <c r="A54" s="191" t="s">
        <v>162</v>
      </c>
    </row>
    <row r="55" spans="1:15">
      <c r="A55" s="191" t="s">
        <v>163</v>
      </c>
    </row>
    <row r="56" spans="1:15">
      <c r="A56" s="191" t="s">
        <v>164</v>
      </c>
    </row>
    <row r="57" spans="1:15">
      <c r="A57" s="191" t="s">
        <v>165</v>
      </c>
    </row>
    <row r="58" spans="1:15">
      <c r="A58" s="191" t="s">
        <v>166</v>
      </c>
    </row>
    <row r="59" spans="1:15">
      <c r="A59" s="191" t="s">
        <v>167</v>
      </c>
    </row>
    <row r="60" spans="1:15">
      <c r="A60" s="191" t="s">
        <v>168</v>
      </c>
    </row>
    <row r="61" spans="1:15">
      <c r="A61" s="191" t="s">
        <v>169</v>
      </c>
    </row>
    <row r="62" spans="1:15">
      <c r="A62" s="191" t="s">
        <v>170</v>
      </c>
    </row>
    <row r="63" spans="1:15">
      <c r="A63" t="s">
        <v>171</v>
      </c>
    </row>
  </sheetData>
  <printOptions gridLines="1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O18" sqref="O18"/>
    </sheetView>
  </sheetViews>
  <sheetFormatPr defaultColWidth="11.42578125" defaultRowHeight="15"/>
  <cols>
    <col min="1" max="1" width="19.28515625" bestFit="1" customWidth="1"/>
    <col min="2" max="2" width="13" hidden="1" customWidth="1"/>
    <col min="3" max="3" width="11.85546875" hidden="1" customWidth="1"/>
    <col min="4" max="4" width="13" hidden="1" customWidth="1"/>
    <col min="5" max="5" width="23.140625" customWidth="1"/>
    <col min="6" max="9" width="16.140625" bestFit="1" customWidth="1"/>
  </cols>
  <sheetData>
    <row r="1" spans="1:9" ht="21">
      <c r="G1" s="7" t="s">
        <v>158</v>
      </c>
    </row>
    <row r="2" spans="1:9" ht="21">
      <c r="F2" s="7" t="s">
        <v>155</v>
      </c>
    </row>
    <row r="3" spans="1:9" ht="21">
      <c r="C3" s="7"/>
    </row>
    <row r="5" spans="1:9" ht="18.75">
      <c r="A5" s="2"/>
      <c r="B5" s="3" t="s">
        <v>7</v>
      </c>
      <c r="C5" s="3" t="s">
        <v>3</v>
      </c>
      <c r="D5" s="3" t="s">
        <v>4</v>
      </c>
      <c r="E5" s="3" t="s">
        <v>5</v>
      </c>
      <c r="F5" s="3" t="s">
        <v>6</v>
      </c>
      <c r="G5" s="186" t="s">
        <v>152</v>
      </c>
      <c r="H5" s="186" t="s">
        <v>153</v>
      </c>
      <c r="I5" s="186" t="s">
        <v>154</v>
      </c>
    </row>
    <row r="6" spans="1:9" ht="18.75" hidden="1">
      <c r="A6" s="2" t="s">
        <v>0</v>
      </c>
      <c r="B6" s="4">
        <f>13609710-2075539</f>
        <v>11534171</v>
      </c>
      <c r="C6" s="4">
        <f>11965228-1989684</f>
        <v>9975544</v>
      </c>
      <c r="D6" s="4">
        <f>12636228-2296633</f>
        <v>10339595</v>
      </c>
      <c r="E6" s="4">
        <f>13025471-2669679</f>
        <v>10355792</v>
      </c>
      <c r="F6" s="4">
        <f>E6-F12</f>
        <v>10355792</v>
      </c>
      <c r="G6" s="187"/>
      <c r="H6" s="187"/>
      <c r="I6" s="187"/>
    </row>
    <row r="7" spans="1:9" ht="18.75" hidden="1">
      <c r="A7" s="2" t="s">
        <v>1</v>
      </c>
      <c r="B7" s="4">
        <v>4892664</v>
      </c>
      <c r="C7" s="4">
        <v>4796687</v>
      </c>
      <c r="D7" s="4">
        <v>4905520</v>
      </c>
      <c r="E7" s="4">
        <v>4598339</v>
      </c>
      <c r="F7" s="4">
        <v>4159393</v>
      </c>
      <c r="G7" s="187"/>
      <c r="H7" s="187"/>
      <c r="I7" s="187"/>
    </row>
    <row r="8" spans="1:9" ht="18.75">
      <c r="A8" s="188" t="s">
        <v>156</v>
      </c>
      <c r="B8" s="187"/>
      <c r="C8" s="187"/>
      <c r="D8" s="187"/>
      <c r="E8" s="189">
        <v>804354</v>
      </c>
      <c r="F8" s="190">
        <f>E8*0.93</f>
        <v>748049.22000000009</v>
      </c>
      <c r="G8" s="190">
        <f t="shared" ref="G8:I8" si="0">F8*0.93</f>
        <v>695685.77460000012</v>
      </c>
      <c r="H8" s="190">
        <f t="shared" si="0"/>
        <v>646987.7703780001</v>
      </c>
      <c r="I8" s="190">
        <f t="shared" si="0"/>
        <v>601698.62645154016</v>
      </c>
    </row>
    <row r="9" spans="1:9" ht="18.75">
      <c r="A9" s="188" t="s">
        <v>157</v>
      </c>
      <c r="B9" s="187"/>
      <c r="C9" s="187"/>
      <c r="D9" s="187"/>
      <c r="E9" s="189">
        <v>1918641</v>
      </c>
      <c r="F9" s="190">
        <f>E9*0.93</f>
        <v>1784336.1300000001</v>
      </c>
      <c r="G9" s="190">
        <f t="shared" ref="G9:I9" si="1">F9*0.93</f>
        <v>1659432.6009000002</v>
      </c>
      <c r="H9" s="190">
        <f t="shared" si="1"/>
        <v>1543272.3188370003</v>
      </c>
      <c r="I9" s="190">
        <f t="shared" si="1"/>
        <v>1435243.2565184103</v>
      </c>
    </row>
    <row r="10" spans="1:9" ht="18.75">
      <c r="A10" s="2" t="s">
        <v>2</v>
      </c>
      <c r="B10" s="4">
        <v>2075539</v>
      </c>
      <c r="C10" s="5">
        <v>1989684</v>
      </c>
      <c r="D10" s="4">
        <v>2296633</v>
      </c>
      <c r="E10" s="4">
        <v>2135743</v>
      </c>
      <c r="F10" s="4">
        <f>(2135743*0.93)</f>
        <v>1986240.99</v>
      </c>
      <c r="G10" s="4">
        <f>F10*0.93</f>
        <v>1847204.1207000001</v>
      </c>
      <c r="H10" s="4">
        <f>G10*0.93</f>
        <v>1717899.8322510002</v>
      </c>
      <c r="I10" s="4">
        <f>H10*0.93</f>
        <v>1597646.8439934303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BB137"/>
  <sheetViews>
    <sheetView zoomScale="115" zoomScaleNormal="115" zoomScalePageLayoutView="115" workbookViewId="0">
      <selection activeCell="D69" sqref="D69"/>
    </sheetView>
  </sheetViews>
  <sheetFormatPr defaultColWidth="8.85546875" defaultRowHeight="12.75"/>
  <cols>
    <col min="1" max="1" width="24.7109375" style="8" customWidth="1"/>
    <col min="2" max="2" width="9.7109375" style="8" hidden="1" customWidth="1"/>
    <col min="3" max="3" width="12.140625" style="13" hidden="1" customWidth="1"/>
    <col min="4" max="4" width="14.42578125" style="13" bestFit="1" customWidth="1"/>
    <col min="5" max="5" width="12.42578125" style="31" hidden="1" customWidth="1"/>
    <col min="6" max="6" width="14.42578125" style="24" hidden="1" customWidth="1"/>
    <col min="7" max="7" width="12.42578125" style="12" hidden="1" customWidth="1"/>
    <col min="8" max="8" width="10.140625" style="12" hidden="1" customWidth="1"/>
    <col min="9" max="9" width="12.7109375" style="12" hidden="1" customWidth="1"/>
    <col min="10" max="10" width="12.140625" style="109" hidden="1" customWidth="1"/>
    <col min="11" max="11" width="14" style="109" customWidth="1"/>
    <col min="12" max="13" width="13.85546875" style="109" bestFit="1" customWidth="1"/>
    <col min="14" max="14" width="15.7109375" style="109" customWidth="1"/>
    <col min="15" max="15" width="15.42578125" style="109" customWidth="1"/>
    <col min="16" max="16" width="9.140625" style="9" hidden="1" customWidth="1"/>
    <col min="17" max="17" width="12.42578125" style="10" bestFit="1" customWidth="1"/>
    <col min="18" max="54" width="8.85546875" style="10" customWidth="1"/>
    <col min="55" max="16384" width="8.85546875" style="8"/>
  </cols>
  <sheetData>
    <row r="2" spans="1:54" ht="14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4" spans="1:54" s="12" customFormat="1" ht="15" customHeight="1">
      <c r="A4" s="11">
        <f ca="1">NOW()</f>
        <v>40622.543461921297</v>
      </c>
      <c r="C4" s="13"/>
      <c r="D4" s="14"/>
      <c r="E4" s="15"/>
      <c r="F4" s="16"/>
      <c r="G4" s="17"/>
      <c r="H4" s="17"/>
      <c r="I4" s="17"/>
      <c r="J4" s="18"/>
      <c r="K4" s="19" t="s">
        <v>14</v>
      </c>
      <c r="L4" s="20"/>
      <c r="M4" s="21"/>
      <c r="N4" s="21"/>
      <c r="O4" s="21"/>
      <c r="P4" s="9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4" s="12" customFormat="1" ht="15" customHeight="1">
      <c r="A5" s="11"/>
      <c r="C5" s="13"/>
      <c r="E5" s="23"/>
      <c r="F5" s="24"/>
      <c r="G5" s="25"/>
      <c r="H5" s="25"/>
      <c r="I5" s="25"/>
      <c r="J5" s="21"/>
      <c r="K5" s="26"/>
      <c r="L5" s="21"/>
      <c r="M5" s="21"/>
      <c r="N5" s="21"/>
      <c r="O5" s="21"/>
      <c r="P5" s="9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s="12" customFormat="1" ht="15" customHeight="1">
      <c r="B6" s="27" t="s">
        <v>15</v>
      </c>
      <c r="C6" s="27"/>
      <c r="D6" s="193" t="s">
        <v>16</v>
      </c>
      <c r="E6" s="193"/>
      <c r="F6" s="193"/>
      <c r="G6" s="193"/>
      <c r="H6" s="193"/>
      <c r="I6" s="193"/>
      <c r="J6" s="28"/>
      <c r="K6" s="28" t="s">
        <v>17</v>
      </c>
      <c r="L6" s="28" t="s">
        <v>18</v>
      </c>
      <c r="M6" s="28" t="s">
        <v>19</v>
      </c>
      <c r="N6" s="28" t="s">
        <v>20</v>
      </c>
      <c r="O6" s="28"/>
      <c r="P6" s="9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12" customFormat="1" ht="15" customHeight="1">
      <c r="B7" s="26" t="s">
        <v>21</v>
      </c>
      <c r="C7" s="29" t="s">
        <v>22</v>
      </c>
      <c r="D7" s="30" t="s">
        <v>23</v>
      </c>
      <c r="E7" s="31"/>
      <c r="F7" s="32"/>
      <c r="G7" s="33"/>
      <c r="H7" s="33"/>
      <c r="I7" s="33" t="s">
        <v>24</v>
      </c>
      <c r="J7" s="21"/>
      <c r="K7" s="21" t="s">
        <v>25</v>
      </c>
      <c r="L7" s="21" t="s">
        <v>26</v>
      </c>
      <c r="M7" s="21" t="s">
        <v>26</v>
      </c>
      <c r="N7" s="28" t="s">
        <v>26</v>
      </c>
      <c r="O7" s="28"/>
      <c r="P7" s="34" t="s">
        <v>27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</row>
    <row r="8" spans="1:54" s="12" customFormat="1" ht="15" customHeight="1" thickBot="1">
      <c r="A8" s="35" t="s">
        <v>28</v>
      </c>
      <c r="B8" s="36" t="s">
        <v>29</v>
      </c>
      <c r="C8" s="37" t="s">
        <v>30</v>
      </c>
      <c r="D8" s="38" t="s">
        <v>31</v>
      </c>
      <c r="E8" s="39"/>
      <c r="F8" s="40"/>
      <c r="G8" s="41" t="s">
        <v>32</v>
      </c>
      <c r="H8" s="41" t="s">
        <v>33</v>
      </c>
      <c r="I8" s="41" t="s">
        <v>34</v>
      </c>
      <c r="J8" s="42" t="s">
        <v>35</v>
      </c>
      <c r="K8" s="43" t="s">
        <v>36</v>
      </c>
      <c r="L8" s="42" t="s">
        <v>37</v>
      </c>
      <c r="M8" s="42" t="s">
        <v>37</v>
      </c>
      <c r="N8" s="43" t="s">
        <v>37</v>
      </c>
      <c r="O8" s="43"/>
      <c r="P8" s="44" t="s">
        <v>38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s="12" customFormat="1" ht="15" hidden="1" customHeight="1" thickTop="1">
      <c r="A9" s="45" t="s">
        <v>39</v>
      </c>
      <c r="B9" s="46"/>
      <c r="C9" s="47"/>
      <c r="D9" s="47"/>
      <c r="E9" s="48"/>
      <c r="F9" s="49"/>
      <c r="G9" s="50"/>
      <c r="H9" s="50"/>
      <c r="I9" s="50"/>
      <c r="J9" s="51"/>
      <c r="K9" s="51"/>
      <c r="L9" s="52"/>
      <c r="M9" s="53"/>
      <c r="N9" s="53"/>
      <c r="O9" s="53"/>
      <c r="P9" s="54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</row>
    <row r="10" spans="1:54" s="12" customFormat="1" ht="15" hidden="1" customHeight="1">
      <c r="A10" s="55" t="s">
        <v>40</v>
      </c>
      <c r="B10" s="56">
        <v>60100</v>
      </c>
      <c r="C10" s="57">
        <v>2532854</v>
      </c>
      <c r="D10" s="58">
        <v>2686840</v>
      </c>
      <c r="E10" s="59"/>
      <c r="F10" s="60"/>
      <c r="G10" s="61">
        <v>1697131.53</v>
      </c>
      <c r="H10" s="62"/>
      <c r="I10" s="62">
        <f>SUM(G10:H10)</f>
        <v>1697131.53</v>
      </c>
      <c r="J10" s="63">
        <f>SUM(D10)-G10</f>
        <v>989708.47</v>
      </c>
      <c r="K10" s="64">
        <v>2521544.56</v>
      </c>
      <c r="L10" s="65">
        <v>2528765.2799999998</v>
      </c>
      <c r="M10" s="66">
        <v>2178750</v>
      </c>
      <c r="N10" s="66">
        <f>2088937.35</f>
        <v>2088937.35</v>
      </c>
      <c r="O10" s="66">
        <v>1693910.15</v>
      </c>
      <c r="P10" s="67">
        <f>SUM(J10)/D10</f>
        <v>0.3683540776525584</v>
      </c>
      <c r="Q10" s="22"/>
      <c r="R10" s="68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</row>
    <row r="11" spans="1:54" s="12" customFormat="1" ht="15" hidden="1" customHeight="1">
      <c r="A11" s="69" t="s">
        <v>41</v>
      </c>
      <c r="B11" s="70">
        <v>60105</v>
      </c>
      <c r="C11" s="13"/>
      <c r="D11" s="13">
        <v>77237</v>
      </c>
      <c r="E11" s="71" t="s">
        <v>42</v>
      </c>
      <c r="F11" s="72" t="s">
        <v>42</v>
      </c>
      <c r="G11" s="62">
        <v>76964.59</v>
      </c>
      <c r="H11" s="62">
        <v>0</v>
      </c>
      <c r="I11" s="62">
        <f>SUM(G11:H11)</f>
        <v>76964.59</v>
      </c>
      <c r="J11" s="73">
        <f>SUM(D11)-G11-H11</f>
        <v>272.41000000000349</v>
      </c>
      <c r="K11" s="74">
        <f>3843+131334.87</f>
        <v>135177.87</v>
      </c>
      <c r="L11" s="65">
        <v>292979.21000000002</v>
      </c>
      <c r="M11" s="66">
        <v>146363</v>
      </c>
      <c r="N11" s="66">
        <v>140833.59</v>
      </c>
      <c r="O11" s="66">
        <v>240240.75</v>
      </c>
      <c r="P11" s="67">
        <f>SUM(J11)/D11</f>
        <v>3.5269365718503241E-3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s="12" customFormat="1" ht="15" hidden="1" customHeight="1">
      <c r="A12" s="55" t="s">
        <v>43</v>
      </c>
      <c r="B12" s="75" t="s">
        <v>15</v>
      </c>
      <c r="C12" s="76"/>
      <c r="D12" s="58">
        <v>0</v>
      </c>
      <c r="E12" s="71" t="s">
        <v>43</v>
      </c>
      <c r="F12" s="72" t="s">
        <v>43</v>
      </c>
      <c r="G12" s="62">
        <v>0</v>
      </c>
      <c r="H12" s="62">
        <v>0</v>
      </c>
      <c r="I12" s="62">
        <f>SUM(G12:H12)</f>
        <v>0</v>
      </c>
      <c r="J12" s="63">
        <v>0</v>
      </c>
      <c r="K12" s="64"/>
      <c r="L12" s="65"/>
      <c r="M12" s="66">
        <v>130486</v>
      </c>
      <c r="N12" s="66">
        <v>132151.15</v>
      </c>
      <c r="O12" s="66"/>
      <c r="P12" s="67" t="e">
        <f>SUM(J12)/D12</f>
        <v>#DIV/0!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s="86" customFormat="1" ht="15" hidden="1" customHeight="1">
      <c r="A13" s="45" t="s">
        <v>44</v>
      </c>
      <c r="B13" s="77"/>
      <c r="C13" s="78"/>
      <c r="D13" s="78"/>
      <c r="E13" s="79"/>
      <c r="F13" s="80"/>
      <c r="G13" s="81"/>
      <c r="H13" s="81"/>
      <c r="I13" s="81"/>
      <c r="J13" s="82"/>
      <c r="K13" s="82"/>
      <c r="L13" s="83"/>
      <c r="M13" s="84"/>
      <c r="N13" s="84"/>
      <c r="O13" s="84"/>
      <c r="P13" s="85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ht="15" hidden="1" customHeight="1">
      <c r="A14" s="55" t="s">
        <v>45</v>
      </c>
      <c r="B14" s="70">
        <v>60200</v>
      </c>
      <c r="C14" s="13">
        <v>2564551</v>
      </c>
      <c r="D14" s="13">
        <v>2668943</v>
      </c>
      <c r="E14" s="87"/>
      <c r="F14" s="88"/>
      <c r="G14" s="61">
        <v>1696972.48</v>
      </c>
      <c r="H14" s="61"/>
      <c r="I14" s="61">
        <f>SUM(G14:H14)</f>
        <v>1696972.48</v>
      </c>
      <c r="J14" s="63">
        <f>SUM(D14)-G14</f>
        <v>971970.52</v>
      </c>
      <c r="K14" s="64">
        <v>2629196.2599999998</v>
      </c>
      <c r="L14" s="65">
        <v>2760400.43</v>
      </c>
      <c r="M14" s="66">
        <v>2658163</v>
      </c>
      <c r="N14" s="66">
        <f>2255244.77</f>
        <v>2255244.77</v>
      </c>
      <c r="O14" s="66">
        <v>1885566.95</v>
      </c>
      <c r="P14" s="67">
        <f>SUM(J14)/D14</f>
        <v>0.36417807349201536</v>
      </c>
    </row>
    <row r="15" spans="1:54" ht="15" hidden="1" customHeight="1">
      <c r="A15" s="69" t="s">
        <v>46</v>
      </c>
      <c r="B15" s="56">
        <v>60501</v>
      </c>
      <c r="C15" s="13">
        <v>101142</v>
      </c>
      <c r="D15" s="13">
        <v>93609</v>
      </c>
      <c r="E15" s="87"/>
      <c r="F15" s="88"/>
      <c r="G15" s="61">
        <f>SUM(G16:G18)</f>
        <v>43565.93</v>
      </c>
      <c r="H15" s="61">
        <f>SUM(H16:H18)</f>
        <v>0</v>
      </c>
      <c r="I15" s="61">
        <f>SUM(G15:H15)</f>
        <v>43565.93</v>
      </c>
      <c r="J15" s="63">
        <f>SUM(D15)-G15-H15</f>
        <v>50043.07</v>
      </c>
      <c r="K15" s="64">
        <f>58953.38+6647.65</f>
        <v>65601.03</v>
      </c>
      <c r="L15" s="65">
        <v>68403.69</v>
      </c>
      <c r="M15" s="66">
        <v>69777</v>
      </c>
      <c r="N15" s="66">
        <f>69911.69+300.01</f>
        <v>70211.7</v>
      </c>
      <c r="O15" s="66">
        <f>93753.77+1193.97</f>
        <v>94947.74</v>
      </c>
      <c r="P15" s="67">
        <f>SUM(J15)/D15</f>
        <v>0.53459678022412371</v>
      </c>
    </row>
    <row r="16" spans="1:54" ht="15" hidden="1" customHeight="1">
      <c r="A16" s="89" t="s">
        <v>47</v>
      </c>
      <c r="B16" s="26"/>
      <c r="D16" s="90"/>
      <c r="E16" s="91" t="s">
        <v>47</v>
      </c>
      <c r="F16" s="92" t="s">
        <v>47</v>
      </c>
      <c r="G16" s="93">
        <v>43565.93</v>
      </c>
      <c r="H16" s="93">
        <v>0</v>
      </c>
      <c r="I16" s="93">
        <f>SUM(G16:H16)</f>
        <v>43565.93</v>
      </c>
      <c r="J16" s="94"/>
      <c r="K16" s="94">
        <v>65601</v>
      </c>
      <c r="L16" s="95">
        <v>66881.41</v>
      </c>
      <c r="M16" s="96">
        <v>63411</v>
      </c>
      <c r="N16" s="96">
        <v>51544.42</v>
      </c>
      <c r="O16" s="96">
        <v>52998.32</v>
      </c>
      <c r="P16" s="97"/>
    </row>
    <row r="17" spans="1:54" ht="15" hidden="1" customHeight="1">
      <c r="A17" s="89"/>
      <c r="B17" s="26"/>
      <c r="D17" s="90"/>
      <c r="E17" s="91"/>
      <c r="F17" s="92"/>
      <c r="G17" s="93"/>
      <c r="H17" s="93"/>
      <c r="I17" s="93"/>
      <c r="J17" s="94"/>
      <c r="K17" s="94"/>
      <c r="L17" s="95"/>
      <c r="M17" s="96"/>
      <c r="N17" s="96"/>
      <c r="O17" s="96"/>
      <c r="P17" s="97"/>
    </row>
    <row r="18" spans="1:54" ht="13.5" hidden="1" thickTop="1">
      <c r="A18" s="89" t="s">
        <v>48</v>
      </c>
      <c r="B18" s="26"/>
      <c r="D18" s="90"/>
      <c r="E18" s="91" t="s">
        <v>48</v>
      </c>
      <c r="F18" s="92" t="s">
        <v>48</v>
      </c>
      <c r="G18" s="93">
        <v>0</v>
      </c>
      <c r="H18" s="93">
        <v>0</v>
      </c>
      <c r="I18" s="93">
        <f>SUM(G18:H18)</f>
        <v>0</v>
      </c>
      <c r="J18" s="94"/>
      <c r="K18" s="94">
        <v>0</v>
      </c>
      <c r="L18" s="95">
        <v>1522.28</v>
      </c>
      <c r="M18" s="96">
        <v>6366</v>
      </c>
      <c r="N18" s="96">
        <f>18367.27+300.01</f>
        <v>18667.28</v>
      </c>
      <c r="O18" s="96">
        <v>41949.68</v>
      </c>
      <c r="P18" s="97"/>
    </row>
    <row r="19" spans="1:54" ht="13.5" hidden="1" thickTop="1">
      <c r="A19" s="98" t="s">
        <v>49</v>
      </c>
      <c r="B19" s="99"/>
      <c r="D19" s="13">
        <v>1001218.2699999996</v>
      </c>
      <c r="E19" s="71"/>
      <c r="F19" s="72"/>
      <c r="G19" s="93"/>
      <c r="H19" s="93"/>
      <c r="I19" s="61">
        <v>1021955.5500000003</v>
      </c>
      <c r="J19" s="64"/>
      <c r="K19" s="64">
        <f>6736867.35-K10-K11-K14</f>
        <v>1450948.6599999992</v>
      </c>
      <c r="L19" s="65">
        <v>1393756</v>
      </c>
      <c r="M19" s="66">
        <v>1282108</v>
      </c>
      <c r="N19" s="66">
        <v>1108537.83</v>
      </c>
      <c r="O19" s="66">
        <f>941620.31+5500</f>
        <v>947120.31</v>
      </c>
      <c r="P19" s="97"/>
    </row>
    <row r="20" spans="1:54" s="108" customFormat="1" ht="13.5" hidden="1" thickTop="1">
      <c r="A20" s="100" t="s">
        <v>50</v>
      </c>
      <c r="B20" s="101"/>
      <c r="C20" s="102">
        <f>SUM(C10:C15)</f>
        <v>5198547</v>
      </c>
      <c r="D20" s="103">
        <f>SUM(D10+D11+D12+D14+D15+D19)</f>
        <v>6527847.2699999996</v>
      </c>
      <c r="E20" s="104"/>
      <c r="F20" s="105"/>
      <c r="G20" s="103">
        <f>SUM(G10+G11+G12+G14+G15)</f>
        <v>3514634.5300000003</v>
      </c>
      <c r="H20" s="103">
        <f>SUM(H10+H11+H14+H15)</f>
        <v>0</v>
      </c>
      <c r="I20" s="103">
        <f>SUM(I10+I11+I12+I14+I15+I19)</f>
        <v>4536590.08</v>
      </c>
      <c r="J20" s="103">
        <f>SUM(J10+J11+J14+J15)</f>
        <v>2011994.47</v>
      </c>
      <c r="K20" s="106">
        <f>SUM(K10+K11+K12+K14+K15+K19)</f>
        <v>6802468.379999999</v>
      </c>
      <c r="L20" s="106">
        <f>SUM(L10+L11+L12+L14+L15+L19)</f>
        <v>7044304.6100000003</v>
      </c>
      <c r="M20" s="106">
        <f>SUM(M10+M11+M12+M14+M15+M19)</f>
        <v>6465647</v>
      </c>
      <c r="N20" s="103">
        <f>SUM(N10+N11+N12+N14+N15+N19)</f>
        <v>5795916.3899999997</v>
      </c>
      <c r="O20" s="103">
        <f>SUM(O10+O11+O12+O14+O15+O19)</f>
        <v>4861785.9000000004</v>
      </c>
      <c r="P20" s="107">
        <f>SUM(J20)/D20</f>
        <v>0.3082171482850885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13.5" hidden="1" thickTop="1">
      <c r="A21" s="12"/>
      <c r="B21" s="26"/>
      <c r="G21" s="25"/>
      <c r="H21" s="25"/>
      <c r="I21" s="25"/>
      <c r="L21" s="65"/>
      <c r="M21" s="110"/>
      <c r="N21" s="110"/>
      <c r="O21" s="110"/>
      <c r="P21" s="97"/>
    </row>
    <row r="22" spans="1:54" ht="13.5" hidden="1" thickTop="1">
      <c r="A22" s="19" t="s">
        <v>51</v>
      </c>
      <c r="B22" s="56">
        <v>60521</v>
      </c>
      <c r="C22" s="13">
        <f>123530</f>
        <v>123530</v>
      </c>
      <c r="D22" s="13">
        <v>232530</v>
      </c>
      <c r="F22" s="24">
        <v>60521</v>
      </c>
      <c r="G22" s="61">
        <v>149969.66</v>
      </c>
      <c r="H22" s="61">
        <v>0</v>
      </c>
      <c r="I22" s="61">
        <f>SUM(G22:H22)</f>
        <v>149969.66</v>
      </c>
      <c r="J22" s="111">
        <f>SUM(D22)-G22-H22</f>
        <v>82560.34</v>
      </c>
      <c r="K22" s="112">
        <v>190939.81</v>
      </c>
      <c r="L22" s="113">
        <v>225209.67</v>
      </c>
      <c r="M22" s="114">
        <v>152175</v>
      </c>
      <c r="N22" s="114">
        <f>124354.37+13277.53</f>
        <v>137631.9</v>
      </c>
      <c r="O22" s="114">
        <f>108691.36+8492.06</f>
        <v>117183.42</v>
      </c>
      <c r="P22" s="67">
        <f>SUM(J22)/D22</f>
        <v>0.35505242334322451</v>
      </c>
    </row>
    <row r="23" spans="1:54" ht="13.5" hidden="1" thickTop="1">
      <c r="A23" s="12" t="s">
        <v>52</v>
      </c>
      <c r="B23" s="56">
        <v>60521</v>
      </c>
      <c r="D23" s="13">
        <v>101890</v>
      </c>
      <c r="E23" s="31" t="s">
        <v>53</v>
      </c>
      <c r="F23" s="32" t="s">
        <v>54</v>
      </c>
      <c r="G23" s="61">
        <v>17468.810000000001</v>
      </c>
      <c r="H23" s="61">
        <v>0</v>
      </c>
      <c r="I23" s="61">
        <f t="shared" ref="I23:I50" si="0">SUM(G23:H23)</f>
        <v>17468.810000000001</v>
      </c>
      <c r="L23" s="65"/>
      <c r="M23" s="110"/>
      <c r="N23" s="110"/>
      <c r="O23" s="110"/>
      <c r="P23" s="97"/>
    </row>
    <row r="24" spans="1:54" ht="13.5" hidden="1" thickTop="1">
      <c r="A24" s="19" t="s">
        <v>55</v>
      </c>
      <c r="B24" s="56">
        <v>72000</v>
      </c>
      <c r="C24" s="13">
        <v>90236</v>
      </c>
      <c r="D24" s="13">
        <v>82242</v>
      </c>
      <c r="G24" s="61">
        <v>70743.55</v>
      </c>
      <c r="H24" s="61">
        <v>35.590000000000003</v>
      </c>
      <c r="I24" s="61">
        <f t="shared" si="0"/>
        <v>70779.14</v>
      </c>
      <c r="J24" s="111">
        <f>SUM(D24)-G24-H24</f>
        <v>11462.859999999997</v>
      </c>
      <c r="K24" s="112">
        <v>64051.1</v>
      </c>
      <c r="L24" s="113">
        <v>108282.48</v>
      </c>
      <c r="M24" s="114">
        <v>210560</v>
      </c>
      <c r="N24" s="114">
        <v>239560.71</v>
      </c>
      <c r="O24" s="114">
        <v>205094.65</v>
      </c>
      <c r="P24" s="67">
        <f>SUM(J24)/D24</f>
        <v>0.13937963570924827</v>
      </c>
    </row>
    <row r="25" spans="1:54" ht="13.5" hidden="1" thickTop="1">
      <c r="A25" s="12"/>
      <c r="B25" s="56"/>
      <c r="E25" s="23" t="s">
        <v>56</v>
      </c>
      <c r="F25" s="32">
        <v>72150</v>
      </c>
      <c r="G25" s="61"/>
      <c r="H25" s="61">
        <f>[1]Sheet1!$W$71</f>
        <v>0</v>
      </c>
      <c r="I25" s="61">
        <f t="shared" si="0"/>
        <v>0</v>
      </c>
      <c r="L25" s="65"/>
      <c r="M25" s="110"/>
      <c r="N25" s="110"/>
      <c r="O25" s="110"/>
      <c r="P25" s="97"/>
    </row>
    <row r="26" spans="1:54" ht="13.5" hidden="1" thickTop="1">
      <c r="A26" s="12"/>
      <c r="B26" s="56"/>
      <c r="E26" s="23" t="s">
        <v>57</v>
      </c>
      <c r="F26" s="32" t="s">
        <v>58</v>
      </c>
      <c r="G26" s="61"/>
      <c r="H26" s="61">
        <f>[1]Sheet1!$W$91</f>
        <v>0</v>
      </c>
      <c r="I26" s="61">
        <f t="shared" si="0"/>
        <v>0</v>
      </c>
      <c r="L26" s="65"/>
      <c r="M26" s="110"/>
      <c r="N26" s="110"/>
      <c r="O26" s="110"/>
      <c r="P26" s="97"/>
    </row>
    <row r="27" spans="1:54" ht="13.5" hidden="1" thickTop="1">
      <c r="A27" s="12"/>
      <c r="B27" s="56"/>
      <c r="E27" s="23" t="s">
        <v>59</v>
      </c>
      <c r="F27" s="32" t="s">
        <v>60</v>
      </c>
      <c r="G27" s="115"/>
      <c r="H27" s="61">
        <f>[1]Sheet1!$W$109</f>
        <v>0</v>
      </c>
      <c r="I27" s="61">
        <f t="shared" si="0"/>
        <v>0</v>
      </c>
      <c r="L27" s="65"/>
      <c r="M27" s="110"/>
      <c r="N27" s="110"/>
      <c r="O27" s="110"/>
      <c r="P27" s="97"/>
    </row>
    <row r="28" spans="1:54" ht="13.5" hidden="1" thickTop="1">
      <c r="A28" s="12"/>
      <c r="B28" s="56"/>
      <c r="E28" s="23" t="s">
        <v>61</v>
      </c>
      <c r="F28" s="32" t="s">
        <v>62</v>
      </c>
      <c r="G28" s="115"/>
      <c r="H28" s="61">
        <v>0</v>
      </c>
      <c r="I28" s="61">
        <f t="shared" si="0"/>
        <v>0</v>
      </c>
      <c r="L28" s="65"/>
      <c r="M28" s="110"/>
      <c r="N28" s="110"/>
      <c r="O28" s="110"/>
      <c r="P28" s="97"/>
    </row>
    <row r="29" spans="1:54" ht="13.5" hidden="1" thickTop="1">
      <c r="A29" s="12"/>
      <c r="B29" s="56"/>
      <c r="E29" s="23" t="s">
        <v>63</v>
      </c>
      <c r="F29" s="32" t="s">
        <v>64</v>
      </c>
      <c r="G29" s="115"/>
      <c r="H29" s="61">
        <v>0</v>
      </c>
      <c r="I29" s="61">
        <f t="shared" si="0"/>
        <v>0</v>
      </c>
      <c r="L29" s="65"/>
      <c r="M29" s="110"/>
      <c r="N29" s="110"/>
      <c r="O29" s="110"/>
      <c r="P29" s="97"/>
    </row>
    <row r="30" spans="1:54" ht="13.5" hidden="1" thickTop="1">
      <c r="A30" s="12"/>
      <c r="B30" s="56"/>
      <c r="E30" s="23" t="s">
        <v>65</v>
      </c>
      <c r="F30" s="32" t="s">
        <v>66</v>
      </c>
      <c r="G30" s="61"/>
      <c r="H30" s="61">
        <v>0</v>
      </c>
      <c r="I30" s="61">
        <f t="shared" si="0"/>
        <v>0</v>
      </c>
      <c r="L30" s="65"/>
      <c r="M30" s="110"/>
      <c r="N30" s="110"/>
      <c r="O30" s="110"/>
      <c r="P30" s="97"/>
    </row>
    <row r="31" spans="1:54" ht="13.5" hidden="1" thickTop="1">
      <c r="A31" s="12"/>
      <c r="B31" s="56"/>
      <c r="F31" s="32"/>
      <c r="G31" s="61"/>
      <c r="H31" s="61">
        <f>SUM(H25:H30)</f>
        <v>0</v>
      </c>
      <c r="I31" s="61">
        <f t="shared" si="0"/>
        <v>0</v>
      </c>
      <c r="L31" s="65"/>
      <c r="M31" s="110"/>
      <c r="N31" s="110"/>
      <c r="O31" s="110"/>
      <c r="P31" s="97"/>
    </row>
    <row r="32" spans="1:54" ht="24.75" hidden="1" thickTop="1">
      <c r="A32" s="116" t="s">
        <v>67</v>
      </c>
      <c r="B32" s="56">
        <v>72350</v>
      </c>
      <c r="C32" s="13">
        <v>245565</v>
      </c>
      <c r="D32" s="13">
        <v>220915</v>
      </c>
      <c r="G32" s="61">
        <v>113393.95999999999</v>
      </c>
      <c r="H32" s="61">
        <v>0</v>
      </c>
      <c r="I32" s="61">
        <f t="shared" si="0"/>
        <v>113393.95999999999</v>
      </c>
      <c r="J32" s="111">
        <f>SUM(D32)-G32-H32</f>
        <v>107521.04000000001</v>
      </c>
      <c r="K32" s="112">
        <v>219446.55</v>
      </c>
      <c r="L32" s="113">
        <v>199955.58</v>
      </c>
      <c r="M32" s="114">
        <v>51181</v>
      </c>
      <c r="N32" s="114">
        <v>221814.84</v>
      </c>
      <c r="O32" s="114">
        <v>152483.43</v>
      </c>
      <c r="P32" s="67">
        <f>SUM(J32)/D32</f>
        <v>0.4867077382703755</v>
      </c>
    </row>
    <row r="33" spans="1:16" ht="13.5" hidden="1" thickTop="1">
      <c r="B33" s="117"/>
      <c r="F33" s="32" t="s">
        <v>68</v>
      </c>
      <c r="G33" s="61"/>
      <c r="H33" s="61">
        <v>0</v>
      </c>
      <c r="I33" s="61">
        <f t="shared" si="0"/>
        <v>0</v>
      </c>
      <c r="L33" s="65"/>
      <c r="M33" s="110"/>
      <c r="N33" s="110"/>
      <c r="O33" s="110"/>
      <c r="P33" s="97"/>
    </row>
    <row r="34" spans="1:16" ht="13.5" hidden="1" thickTop="1">
      <c r="A34" s="116" t="s">
        <v>69</v>
      </c>
      <c r="B34" s="56">
        <v>72400</v>
      </c>
      <c r="C34" s="13">
        <v>354473</v>
      </c>
      <c r="D34" s="13">
        <v>359364</v>
      </c>
      <c r="G34" s="61">
        <v>164742.96</v>
      </c>
      <c r="H34" s="61">
        <v>106122.28</v>
      </c>
      <c r="I34" s="61">
        <f t="shared" si="0"/>
        <v>270865.24</v>
      </c>
      <c r="J34" s="111">
        <f>SUM(D34)-G34-H34</f>
        <v>88498.760000000009</v>
      </c>
      <c r="K34" s="112">
        <v>86059.9</v>
      </c>
      <c r="L34" s="113">
        <v>87821.84</v>
      </c>
      <c r="M34" s="114">
        <v>490233</v>
      </c>
      <c r="N34" s="114">
        <v>313946</v>
      </c>
      <c r="O34" s="114">
        <f>394778.86-13127.97</f>
        <v>381650.89</v>
      </c>
      <c r="P34" s="67">
        <f>SUM(J34)/D34</f>
        <v>0.24626495697955278</v>
      </c>
    </row>
    <row r="35" spans="1:16" ht="13.5" hidden="1" thickTop="1">
      <c r="A35" s="12"/>
      <c r="B35" s="56"/>
      <c r="E35" s="23" t="s">
        <v>70</v>
      </c>
      <c r="F35" s="32" t="s">
        <v>71</v>
      </c>
      <c r="G35" s="61"/>
      <c r="H35" s="61">
        <v>0</v>
      </c>
      <c r="I35" s="61">
        <f t="shared" si="0"/>
        <v>0</v>
      </c>
      <c r="L35" s="65"/>
      <c r="M35" s="110"/>
      <c r="N35" s="110"/>
      <c r="O35" s="110"/>
      <c r="P35" s="97"/>
    </row>
    <row r="36" spans="1:16" ht="13.5" hidden="1" thickTop="1">
      <c r="A36" s="12"/>
      <c r="B36" s="118"/>
      <c r="E36" s="23" t="s">
        <v>72</v>
      </c>
      <c r="F36" s="32" t="s">
        <v>73</v>
      </c>
      <c r="G36" s="61"/>
      <c r="H36" s="61" t="s">
        <v>15</v>
      </c>
      <c r="I36" s="61">
        <f t="shared" si="0"/>
        <v>0</v>
      </c>
      <c r="L36" s="65"/>
      <c r="M36" s="110"/>
      <c r="N36" s="110"/>
      <c r="O36" s="110"/>
      <c r="P36" s="97"/>
    </row>
    <row r="37" spans="1:16" ht="13.5" hidden="1" thickTop="1">
      <c r="A37" s="12"/>
      <c r="B37" s="56"/>
      <c r="E37" s="23" t="s">
        <v>57</v>
      </c>
      <c r="F37" s="32" t="s">
        <v>74</v>
      </c>
      <c r="G37" s="61"/>
      <c r="H37" s="61">
        <v>0</v>
      </c>
      <c r="I37" s="61">
        <f t="shared" si="0"/>
        <v>0</v>
      </c>
      <c r="L37" s="65"/>
      <c r="M37" s="110"/>
      <c r="N37" s="110"/>
      <c r="O37" s="110"/>
      <c r="P37" s="97"/>
    </row>
    <row r="38" spans="1:16" ht="13.5" hidden="1" thickTop="1">
      <c r="A38" s="12"/>
      <c r="B38" s="56"/>
      <c r="E38" s="23" t="s">
        <v>65</v>
      </c>
      <c r="F38" s="32" t="s">
        <v>75</v>
      </c>
      <c r="G38" s="61"/>
      <c r="H38" s="61">
        <v>0</v>
      </c>
      <c r="I38" s="61">
        <f t="shared" si="0"/>
        <v>0</v>
      </c>
      <c r="L38" s="65"/>
      <c r="M38" s="110"/>
      <c r="N38" s="110"/>
      <c r="O38" s="110"/>
      <c r="P38" s="97"/>
    </row>
    <row r="39" spans="1:16" ht="13.5" hidden="1" thickTop="1">
      <c r="A39" s="12"/>
      <c r="B39" s="56"/>
      <c r="G39" s="61"/>
      <c r="H39" s="61">
        <f>SUM(H35:H38)</f>
        <v>0</v>
      </c>
      <c r="I39" s="61">
        <f t="shared" si="0"/>
        <v>0</v>
      </c>
      <c r="L39" s="65"/>
      <c r="M39" s="110"/>
      <c r="N39" s="110"/>
      <c r="O39" s="110"/>
      <c r="P39" s="97"/>
    </row>
    <row r="40" spans="1:16" ht="13.5" hidden="1" thickTop="1">
      <c r="A40" s="116" t="s">
        <v>76</v>
      </c>
      <c r="B40" s="56">
        <v>73000</v>
      </c>
      <c r="C40" s="13">
        <v>93785</v>
      </c>
      <c r="D40" s="13">
        <v>55619</v>
      </c>
      <c r="G40" s="115">
        <v>51640.31</v>
      </c>
      <c r="H40" s="115">
        <v>3500</v>
      </c>
      <c r="I40" s="61">
        <f t="shared" si="0"/>
        <v>55140.31</v>
      </c>
      <c r="J40" s="111">
        <f>SUM(D40)-G40-H40</f>
        <v>478.69000000000233</v>
      </c>
      <c r="K40" s="112">
        <v>24203.99</v>
      </c>
      <c r="L40" s="113">
        <v>16101.07</v>
      </c>
      <c r="M40" s="114">
        <v>92317</v>
      </c>
      <c r="N40" s="114">
        <v>36347</v>
      </c>
      <c r="O40" s="114">
        <v>11193.03</v>
      </c>
      <c r="P40" s="67">
        <f>SUM(J40)/D40</f>
        <v>8.6065912727665422E-3</v>
      </c>
    </row>
    <row r="41" spans="1:16" ht="13.5" hidden="1" thickTop="1">
      <c r="A41" s="12" t="s">
        <v>15</v>
      </c>
      <c r="B41" s="56"/>
      <c r="D41" s="13">
        <v>0</v>
      </c>
      <c r="E41" s="31" t="s">
        <v>77</v>
      </c>
      <c r="F41" s="32" t="s">
        <v>78</v>
      </c>
      <c r="G41" s="61"/>
      <c r="H41" s="61">
        <v>0</v>
      </c>
      <c r="I41" s="61">
        <f t="shared" si="0"/>
        <v>0</v>
      </c>
      <c r="L41" s="65"/>
      <c r="M41" s="110"/>
      <c r="N41" s="110"/>
      <c r="O41" s="110"/>
      <c r="P41" s="97"/>
    </row>
    <row r="42" spans="1:16" ht="13.5" hidden="1" thickTop="1">
      <c r="A42" s="12"/>
      <c r="B42" s="56"/>
      <c r="D42" s="13">
        <v>0</v>
      </c>
      <c r="E42" s="31" t="s">
        <v>79</v>
      </c>
      <c r="F42" s="32">
        <v>72062</v>
      </c>
      <c r="G42" s="61"/>
      <c r="H42" s="61">
        <v>0</v>
      </c>
      <c r="I42" s="61">
        <f t="shared" si="0"/>
        <v>0</v>
      </c>
      <c r="L42" s="65"/>
      <c r="M42" s="110"/>
      <c r="N42" s="110"/>
      <c r="O42" s="110"/>
      <c r="P42" s="97"/>
    </row>
    <row r="43" spans="1:16" ht="13.5" hidden="1" thickTop="1">
      <c r="A43" s="12" t="s">
        <v>15</v>
      </c>
      <c r="B43" s="56"/>
      <c r="D43" s="13">
        <v>0</v>
      </c>
      <c r="E43" s="31" t="s">
        <v>80</v>
      </c>
      <c r="F43" s="32" t="s">
        <v>81</v>
      </c>
      <c r="G43" s="61"/>
      <c r="H43" s="61">
        <v>0</v>
      </c>
      <c r="I43" s="61">
        <f t="shared" si="0"/>
        <v>0</v>
      </c>
      <c r="L43" s="65"/>
      <c r="M43" s="110"/>
      <c r="N43" s="110"/>
      <c r="O43" s="110"/>
      <c r="P43" s="97"/>
    </row>
    <row r="44" spans="1:16" ht="13.5" hidden="1" thickTop="1">
      <c r="A44" s="12"/>
      <c r="B44" s="56"/>
      <c r="D44" s="13">
        <v>0</v>
      </c>
      <c r="G44" s="61"/>
      <c r="H44" s="61">
        <v>0</v>
      </c>
      <c r="I44" s="61">
        <f t="shared" si="0"/>
        <v>0</v>
      </c>
      <c r="L44" s="65"/>
      <c r="M44" s="110"/>
      <c r="N44" s="110"/>
      <c r="O44" s="110"/>
      <c r="P44" s="97"/>
    </row>
    <row r="45" spans="1:16" ht="13.5" hidden="1" thickTop="1">
      <c r="A45" s="19" t="s">
        <v>82</v>
      </c>
      <c r="B45" s="56">
        <v>73200</v>
      </c>
      <c r="C45" s="13">
        <v>50000</v>
      </c>
      <c r="D45" s="13">
        <v>53000</v>
      </c>
      <c r="G45" s="61">
        <v>41415.15</v>
      </c>
      <c r="H45" s="61">
        <v>0</v>
      </c>
      <c r="I45" s="61">
        <f t="shared" si="0"/>
        <v>41415.15</v>
      </c>
      <c r="J45" s="111">
        <f>SUM(D45)-G45-H45</f>
        <v>11584.849999999999</v>
      </c>
      <c r="K45" s="112">
        <v>31553</v>
      </c>
      <c r="L45" s="113">
        <v>59170.879999999997</v>
      </c>
      <c r="M45" s="114">
        <v>95922</v>
      </c>
      <c r="N45" s="114">
        <v>66456.649999999994</v>
      </c>
      <c r="O45" s="114">
        <v>54974.06</v>
      </c>
      <c r="P45" s="67">
        <f>SUM(J45)/D45</f>
        <v>0.21858207547169808</v>
      </c>
    </row>
    <row r="46" spans="1:16" ht="13.5" hidden="1" thickTop="1">
      <c r="A46" s="12" t="s">
        <v>15</v>
      </c>
      <c r="B46" s="56"/>
      <c r="D46" s="13">
        <v>0</v>
      </c>
      <c r="E46" s="23" t="s">
        <v>83</v>
      </c>
      <c r="F46" s="34">
        <v>3100</v>
      </c>
      <c r="G46" s="115"/>
      <c r="H46" s="61">
        <v>0</v>
      </c>
      <c r="I46" s="61">
        <f t="shared" si="0"/>
        <v>0</v>
      </c>
      <c r="L46" s="65"/>
      <c r="M46" s="110"/>
      <c r="N46" s="110"/>
      <c r="O46" s="110"/>
      <c r="P46" s="97"/>
    </row>
    <row r="47" spans="1:16" ht="13.5" hidden="1" thickTop="1">
      <c r="A47" s="12"/>
      <c r="B47" s="56"/>
      <c r="D47" s="13">
        <v>0</v>
      </c>
      <c r="E47" s="23" t="s">
        <v>84</v>
      </c>
      <c r="F47" s="34">
        <v>3101</v>
      </c>
      <c r="G47" s="115"/>
      <c r="H47" s="61">
        <v>0</v>
      </c>
      <c r="I47" s="61">
        <f t="shared" si="0"/>
        <v>0</v>
      </c>
      <c r="L47" s="65"/>
      <c r="M47" s="110"/>
      <c r="N47" s="110"/>
      <c r="O47" s="110"/>
      <c r="P47" s="97"/>
    </row>
    <row r="48" spans="1:16" ht="13.5" hidden="1" thickTop="1">
      <c r="A48" s="12"/>
      <c r="B48" s="56"/>
      <c r="D48" s="13">
        <v>0</v>
      </c>
      <c r="E48" s="23" t="s">
        <v>85</v>
      </c>
      <c r="F48" s="34">
        <v>3102</v>
      </c>
      <c r="G48" s="115"/>
      <c r="H48" s="61">
        <v>0</v>
      </c>
      <c r="I48" s="61">
        <f t="shared" si="0"/>
        <v>0</v>
      </c>
      <c r="L48" s="65"/>
      <c r="M48" s="110"/>
      <c r="N48" s="110"/>
      <c r="O48" s="110"/>
      <c r="P48" s="97"/>
    </row>
    <row r="49" spans="1:16" ht="13.5" hidden="1" thickTop="1">
      <c r="A49" s="12"/>
      <c r="B49" s="56"/>
      <c r="D49" s="13">
        <v>0</v>
      </c>
      <c r="E49" s="23"/>
      <c r="F49" s="34"/>
      <c r="G49" s="61"/>
      <c r="H49" s="61">
        <v>7983.6</v>
      </c>
      <c r="I49" s="61">
        <f t="shared" si="0"/>
        <v>7983.6</v>
      </c>
      <c r="L49" s="65"/>
      <c r="M49" s="110"/>
      <c r="N49" s="110"/>
      <c r="O49" s="110"/>
      <c r="P49" s="97"/>
    </row>
    <row r="50" spans="1:16" ht="13.5" hidden="1" thickTop="1">
      <c r="A50" s="19" t="s">
        <v>86</v>
      </c>
      <c r="B50" s="56">
        <v>73400</v>
      </c>
      <c r="C50" s="13">
        <v>204818</v>
      </c>
      <c r="D50" s="13">
        <v>154362</v>
      </c>
      <c r="E50" s="23"/>
      <c r="F50" s="34"/>
      <c r="G50" s="115">
        <v>81457.84</v>
      </c>
      <c r="H50" s="61" t="e">
        <v>#REF!</v>
      </c>
      <c r="I50" s="61" t="e">
        <f t="shared" si="0"/>
        <v>#REF!</v>
      </c>
      <c r="J50" s="111" t="e">
        <f>SUM(D50)-G50-H50</f>
        <v>#REF!</v>
      </c>
      <c r="K50" s="112">
        <v>117249.38</v>
      </c>
      <c r="L50" s="113">
        <v>140608.14000000001</v>
      </c>
      <c r="M50" s="114">
        <v>271382</v>
      </c>
      <c r="N50" s="114">
        <v>291630.51</v>
      </c>
      <c r="O50" s="114">
        <v>376128.55</v>
      </c>
      <c r="P50" s="67" t="e">
        <f>SUM(J50)/D50</f>
        <v>#REF!</v>
      </c>
    </row>
    <row r="51" spans="1:16" ht="13.5" hidden="1" thickTop="1">
      <c r="A51" s="12"/>
      <c r="B51" s="56"/>
      <c r="D51" s="13">
        <v>0</v>
      </c>
      <c r="E51" s="23" t="s">
        <v>87</v>
      </c>
      <c r="F51" s="34">
        <v>73464</v>
      </c>
      <c r="G51" s="115"/>
      <c r="H51" s="61" t="e">
        <v>#REF!</v>
      </c>
      <c r="I51" s="61"/>
      <c r="L51" s="65"/>
      <c r="M51" s="110"/>
      <c r="N51" s="110"/>
      <c r="O51" s="110"/>
      <c r="P51" s="97"/>
    </row>
    <row r="52" spans="1:16" ht="13.5" hidden="1" thickTop="1">
      <c r="A52" s="12"/>
      <c r="B52" s="56"/>
      <c r="D52" s="13">
        <v>0</v>
      </c>
      <c r="E52" s="23" t="s">
        <v>88</v>
      </c>
      <c r="F52" s="34">
        <v>3200</v>
      </c>
      <c r="G52" s="115"/>
      <c r="H52" s="61">
        <v>0</v>
      </c>
      <c r="I52" s="61"/>
      <c r="L52" s="65"/>
      <c r="M52" s="110"/>
      <c r="N52" s="110"/>
      <c r="O52" s="110"/>
      <c r="P52" s="97"/>
    </row>
    <row r="53" spans="1:16" ht="13.5" hidden="1" thickTop="1">
      <c r="A53" s="12"/>
      <c r="B53" s="56"/>
      <c r="D53" s="13">
        <v>0</v>
      </c>
      <c r="E53" s="23" t="s">
        <v>89</v>
      </c>
      <c r="F53" s="34">
        <v>73481</v>
      </c>
      <c r="G53" s="115"/>
      <c r="H53" s="61">
        <v>11465.11</v>
      </c>
      <c r="I53" s="61"/>
      <c r="L53" s="65"/>
      <c r="M53" s="110"/>
      <c r="N53" s="110"/>
      <c r="O53" s="110"/>
      <c r="P53" s="97"/>
    </row>
    <row r="54" spans="1:16" ht="13.5" hidden="1" thickTop="1">
      <c r="A54" s="12"/>
      <c r="B54" s="56"/>
      <c r="D54" s="13">
        <v>0</v>
      </c>
      <c r="E54" s="23" t="s">
        <v>90</v>
      </c>
      <c r="F54" s="34" t="s">
        <v>91</v>
      </c>
      <c r="G54" s="115"/>
      <c r="H54" s="61" t="e">
        <v>#REF!</v>
      </c>
      <c r="I54" s="61"/>
      <c r="L54" s="65"/>
      <c r="M54" s="110"/>
      <c r="N54" s="110"/>
      <c r="O54" s="110"/>
      <c r="P54" s="97"/>
    </row>
    <row r="55" spans="1:16" ht="13.5" hidden="1" thickTop="1">
      <c r="A55" s="12"/>
      <c r="B55" s="56"/>
      <c r="D55" s="13">
        <v>0</v>
      </c>
      <c r="E55" s="23" t="s">
        <v>92</v>
      </c>
      <c r="F55" s="34">
        <v>73465</v>
      </c>
      <c r="G55" s="115"/>
      <c r="H55" s="61">
        <v>0</v>
      </c>
      <c r="I55" s="61"/>
      <c r="L55" s="65"/>
      <c r="M55" s="110"/>
      <c r="N55" s="110"/>
      <c r="O55" s="110"/>
      <c r="P55" s="97"/>
    </row>
    <row r="56" spans="1:16" ht="13.5" hidden="1" thickTop="1">
      <c r="A56" s="12"/>
      <c r="B56" s="56"/>
      <c r="D56" s="13">
        <v>0</v>
      </c>
      <c r="E56" s="23" t="s">
        <v>93</v>
      </c>
      <c r="F56" s="34" t="s">
        <v>94</v>
      </c>
      <c r="G56" s="115"/>
      <c r="H56" s="61">
        <v>0</v>
      </c>
      <c r="I56" s="61"/>
      <c r="L56" s="65"/>
      <c r="M56" s="110"/>
      <c r="N56" s="110"/>
      <c r="O56" s="110"/>
      <c r="P56" s="97"/>
    </row>
    <row r="57" spans="1:16" ht="13.5" hidden="1" thickTop="1">
      <c r="A57" s="12"/>
      <c r="B57" s="56"/>
      <c r="D57" s="13">
        <v>0</v>
      </c>
      <c r="E57" s="23" t="s">
        <v>95</v>
      </c>
      <c r="F57" s="34">
        <v>73431</v>
      </c>
      <c r="G57" s="115"/>
      <c r="H57" s="61">
        <v>0</v>
      </c>
      <c r="I57" s="61"/>
      <c r="L57" s="65"/>
      <c r="M57" s="110"/>
      <c r="N57" s="110"/>
      <c r="O57" s="110"/>
      <c r="P57" s="97"/>
    </row>
    <row r="58" spans="1:16" ht="13.5" hidden="1" thickTop="1">
      <c r="A58" s="12"/>
      <c r="B58" s="56"/>
      <c r="D58" s="13">
        <v>0</v>
      </c>
      <c r="G58" s="61"/>
      <c r="H58" s="61">
        <v>0</v>
      </c>
      <c r="I58" s="61"/>
      <c r="L58" s="65"/>
      <c r="M58" s="110"/>
      <c r="N58" s="110"/>
      <c r="O58" s="110"/>
      <c r="P58" s="97"/>
    </row>
    <row r="59" spans="1:16" ht="13.5" hidden="1" thickTop="1">
      <c r="A59" s="19" t="s">
        <v>96</v>
      </c>
      <c r="B59" s="56">
        <v>73600</v>
      </c>
      <c r="C59" s="13">
        <v>73154</v>
      </c>
      <c r="D59" s="13">
        <v>82654</v>
      </c>
      <c r="G59" s="61">
        <v>53026.2</v>
      </c>
      <c r="H59" s="61" t="e">
        <v>#REF!</v>
      </c>
      <c r="I59" s="61" t="e">
        <f>SUM(G59:H59)</f>
        <v>#REF!</v>
      </c>
      <c r="J59" s="111" t="e">
        <f>SUM(D59)-G59-H59</f>
        <v>#REF!</v>
      </c>
      <c r="K59" s="112">
        <v>54616.82</v>
      </c>
      <c r="L59" s="113">
        <v>64198.11</v>
      </c>
      <c r="M59" s="114">
        <v>94232</v>
      </c>
      <c r="N59" s="114">
        <v>83589.94</v>
      </c>
      <c r="O59" s="114">
        <v>60020.43</v>
      </c>
      <c r="P59" s="67" t="e">
        <f>SUM(J59)/D59</f>
        <v>#REF!</v>
      </c>
    </row>
    <row r="60" spans="1:16" ht="13.5" hidden="1" thickTop="1">
      <c r="A60" s="12"/>
      <c r="B60" s="26"/>
      <c r="E60" s="23" t="s">
        <v>97</v>
      </c>
      <c r="F60" s="32" t="s">
        <v>98</v>
      </c>
      <c r="G60" s="25">
        <v>2261</v>
      </c>
      <c r="H60" s="25">
        <v>0</v>
      </c>
      <c r="I60" s="25"/>
      <c r="L60" s="65"/>
      <c r="M60" s="110"/>
      <c r="N60" s="110"/>
      <c r="O60" s="110"/>
      <c r="P60" s="97"/>
    </row>
    <row r="61" spans="1:16" ht="13.5" hidden="1" thickTop="1">
      <c r="A61" s="12"/>
      <c r="B61" s="26"/>
      <c r="E61" s="23" t="s">
        <v>99</v>
      </c>
      <c r="F61" s="32" t="s">
        <v>100</v>
      </c>
      <c r="G61" s="25">
        <f>1249.15+18580+6548.25+10397</f>
        <v>36774.400000000001</v>
      </c>
      <c r="H61" s="25">
        <v>410</v>
      </c>
      <c r="I61" s="25"/>
      <c r="L61" s="65"/>
      <c r="M61" s="110"/>
      <c r="N61" s="110"/>
      <c r="O61" s="110"/>
      <c r="P61" s="97"/>
    </row>
    <row r="62" spans="1:16" ht="13.5" hidden="1" thickTop="1">
      <c r="A62" s="12"/>
      <c r="B62" s="26"/>
      <c r="E62" s="23" t="s">
        <v>101</v>
      </c>
      <c r="F62" s="32" t="s">
        <v>102</v>
      </c>
      <c r="G62" s="25">
        <f>1593+8108</f>
        <v>9701</v>
      </c>
      <c r="H62" s="25">
        <v>0</v>
      </c>
      <c r="I62" s="25"/>
      <c r="L62" s="65"/>
      <c r="M62" s="110"/>
      <c r="N62" s="110"/>
      <c r="O62" s="110"/>
      <c r="P62" s="97"/>
    </row>
    <row r="63" spans="1:16" ht="13.5" hidden="1" thickTop="1">
      <c r="A63" s="12"/>
      <c r="B63" s="26"/>
      <c r="E63" s="23" t="s">
        <v>65</v>
      </c>
      <c r="F63" s="32" t="s">
        <v>103</v>
      </c>
      <c r="G63" s="25">
        <v>8916.7199999999993</v>
      </c>
      <c r="H63" s="25">
        <v>0</v>
      </c>
      <c r="I63" s="25"/>
      <c r="L63" s="65"/>
      <c r="M63" s="110"/>
      <c r="N63" s="110"/>
      <c r="O63" s="110"/>
      <c r="P63" s="97"/>
    </row>
    <row r="64" spans="1:16" ht="13.5" hidden="1" thickTop="1">
      <c r="A64" s="12"/>
      <c r="B64" s="26"/>
      <c r="G64" s="25">
        <f>SUM(G60:G63)</f>
        <v>57653.120000000003</v>
      </c>
      <c r="H64" s="25">
        <f>SUM(H60:H63)</f>
        <v>410</v>
      </c>
      <c r="I64" s="25"/>
      <c r="L64" s="65"/>
      <c r="M64" s="110"/>
      <c r="N64" s="110"/>
      <c r="O64" s="110"/>
      <c r="P64" s="97"/>
    </row>
    <row r="65" spans="1:54" s="108" customFormat="1" ht="13.5" hidden="1" thickTop="1">
      <c r="A65" s="119" t="s">
        <v>104</v>
      </c>
      <c r="B65" s="101"/>
      <c r="C65" s="102">
        <f>SUM(C22:C59)</f>
        <v>1235561</v>
      </c>
      <c r="D65" s="102">
        <f>SUM(D22:D59)</f>
        <v>1342576</v>
      </c>
      <c r="E65" s="102">
        <f>SUM(E22:E59)</f>
        <v>0</v>
      </c>
      <c r="F65" s="102">
        <v>0</v>
      </c>
      <c r="G65" s="102">
        <f>SUM(G22:G59)</f>
        <v>743858.44</v>
      </c>
      <c r="H65" s="102" t="e">
        <f>SUM(H22:H59)</f>
        <v>#REF!</v>
      </c>
      <c r="I65" s="102" t="e">
        <f>#REF!+#REF!</f>
        <v>#REF!</v>
      </c>
      <c r="J65" s="102" t="e">
        <f t="shared" ref="J65:O65" si="1">SUM(J22:J59)</f>
        <v>#REF!</v>
      </c>
      <c r="K65" s="120">
        <f t="shared" si="1"/>
        <v>788120.54999999993</v>
      </c>
      <c r="L65" s="120">
        <f t="shared" si="1"/>
        <v>901347.7699999999</v>
      </c>
      <c r="M65" s="120">
        <f t="shared" si="1"/>
        <v>1458002</v>
      </c>
      <c r="N65" s="120">
        <f t="shared" si="1"/>
        <v>1390977.5499999998</v>
      </c>
      <c r="O65" s="120">
        <f t="shared" si="1"/>
        <v>1358728.46</v>
      </c>
      <c r="P65" s="107" t="e">
        <f>SUM(J65)/D65</f>
        <v>#REF!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08" customFormat="1" ht="13.5" hidden="1" thickTop="1">
      <c r="A66" s="121"/>
      <c r="B66" s="122"/>
      <c r="C66" s="13"/>
      <c r="D66" s="13"/>
      <c r="E66" s="13"/>
      <c r="F66" s="13"/>
      <c r="G66" s="13"/>
      <c r="H66" s="13"/>
      <c r="I66" s="13"/>
      <c r="J66" s="13"/>
      <c r="K66" s="13"/>
      <c r="L66" s="123"/>
      <c r="M66" s="124"/>
      <c r="N66" s="124"/>
      <c r="O66" s="124"/>
      <c r="P66" s="107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32" customFormat="1" ht="13.5" thickTop="1">
      <c r="A67" s="125" t="s">
        <v>105</v>
      </c>
      <c r="B67" s="126"/>
      <c r="C67" s="127"/>
      <c r="D67" s="128">
        <v>3235038</v>
      </c>
      <c r="E67" s="127"/>
      <c r="F67" s="127"/>
      <c r="G67" s="127"/>
      <c r="H67" s="127"/>
      <c r="I67" s="127"/>
      <c r="J67" s="127"/>
      <c r="K67" s="128">
        <v>3276902</v>
      </c>
      <c r="L67" s="129">
        <v>3289051</v>
      </c>
      <c r="M67" s="129">
        <v>3243890</v>
      </c>
      <c r="N67" s="129">
        <v>2951544</v>
      </c>
      <c r="O67" s="129"/>
      <c r="P67" s="130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</row>
    <row r="68" spans="1:54" s="108" customFormat="1">
      <c r="A68" s="121"/>
      <c r="B68" s="122"/>
      <c r="C68" s="13"/>
      <c r="D68" s="133"/>
      <c r="E68" s="13"/>
      <c r="F68" s="13"/>
      <c r="G68" s="13"/>
      <c r="H68" s="13"/>
      <c r="I68" s="13"/>
      <c r="J68" s="13"/>
      <c r="K68" s="133"/>
      <c r="L68" s="124"/>
      <c r="M68" s="124"/>
      <c r="N68" s="124"/>
      <c r="O68" s="124"/>
      <c r="P68" s="107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08" customFormat="1">
      <c r="A69" s="134" t="s">
        <v>106</v>
      </c>
      <c r="B69" s="135"/>
      <c r="C69" s="136"/>
      <c r="D69" s="128">
        <v>804354</v>
      </c>
      <c r="E69" s="136"/>
      <c r="F69" s="136"/>
      <c r="G69" s="136"/>
      <c r="H69" s="136"/>
      <c r="I69" s="136"/>
      <c r="J69" s="136"/>
      <c r="K69" s="128">
        <v>1156939</v>
      </c>
      <c r="L69" s="137">
        <v>1140410</v>
      </c>
      <c r="M69" s="128">
        <v>1184568</v>
      </c>
      <c r="N69" s="128">
        <v>1271240</v>
      </c>
      <c r="O69" s="128"/>
      <c r="P69" s="107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0" customFormat="1">
      <c r="A70" s="138"/>
      <c r="B70" s="122"/>
      <c r="C70" s="13"/>
      <c r="D70" s="133"/>
      <c r="E70" s="13"/>
      <c r="F70" s="13"/>
      <c r="G70" s="13"/>
      <c r="H70" s="13"/>
      <c r="I70" s="13"/>
      <c r="J70" s="13"/>
      <c r="K70" s="133"/>
      <c r="L70" s="123"/>
      <c r="M70" s="124"/>
      <c r="N70" s="124"/>
      <c r="O70" s="124"/>
      <c r="P70" s="139"/>
    </row>
    <row r="71" spans="1:54" s="108" customFormat="1" ht="12" customHeight="1">
      <c r="A71" s="134" t="s">
        <v>107</v>
      </c>
      <c r="B71" s="135"/>
      <c r="C71" s="136"/>
      <c r="D71" s="128">
        <v>120001</v>
      </c>
      <c r="E71" s="136"/>
      <c r="F71" s="136"/>
      <c r="G71" s="136"/>
      <c r="H71" s="136"/>
      <c r="I71" s="136"/>
      <c r="J71" s="136"/>
      <c r="K71" s="128">
        <v>164498</v>
      </c>
      <c r="L71" s="137">
        <v>476059</v>
      </c>
      <c r="M71" s="128">
        <v>368229</v>
      </c>
      <c r="N71" s="128">
        <v>669880</v>
      </c>
      <c r="O71" s="128"/>
      <c r="P71" s="107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0" customFormat="1">
      <c r="A72" s="121"/>
      <c r="B72" s="122"/>
      <c r="C72" s="13"/>
      <c r="D72" s="133"/>
      <c r="E72" s="13"/>
      <c r="F72" s="13"/>
      <c r="G72" s="13"/>
      <c r="H72" s="13"/>
      <c r="I72" s="13"/>
      <c r="J72" s="13"/>
      <c r="K72" s="133"/>
      <c r="L72" s="123"/>
      <c r="M72" s="124"/>
      <c r="N72" s="124"/>
      <c r="O72" s="124"/>
      <c r="P72" s="139"/>
    </row>
    <row r="73" spans="1:54" s="108" customFormat="1">
      <c r="A73" s="134"/>
      <c r="B73" s="135"/>
      <c r="C73" s="136"/>
      <c r="D73" s="128"/>
      <c r="E73" s="136"/>
      <c r="F73" s="136"/>
      <c r="G73" s="136"/>
      <c r="H73" s="136"/>
      <c r="I73" s="136"/>
      <c r="J73" s="136"/>
      <c r="K73" s="128"/>
      <c r="L73" s="137"/>
      <c r="M73" s="128"/>
      <c r="N73" s="128"/>
      <c r="O73" s="128"/>
      <c r="P73" s="107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0" customFormat="1">
      <c r="A74" s="138"/>
      <c r="B74" s="122"/>
      <c r="C74" s="13"/>
      <c r="D74" s="133"/>
      <c r="E74" s="13"/>
      <c r="F74" s="13"/>
      <c r="G74" s="13"/>
      <c r="H74" s="13"/>
      <c r="I74" s="13"/>
      <c r="J74" s="13"/>
      <c r="K74" s="133"/>
      <c r="L74" s="123"/>
      <c r="M74" s="124"/>
      <c r="N74" s="124"/>
      <c r="O74" s="124"/>
      <c r="P74" s="139"/>
    </row>
    <row r="75" spans="1:54" s="108" customFormat="1">
      <c r="A75" s="134"/>
      <c r="B75" s="135"/>
      <c r="C75" s="136"/>
      <c r="D75" s="128"/>
      <c r="E75" s="136"/>
      <c r="F75" s="136"/>
      <c r="G75" s="136"/>
      <c r="H75" s="136"/>
      <c r="I75" s="136"/>
      <c r="J75" s="136"/>
      <c r="K75" s="128"/>
      <c r="L75" s="137"/>
      <c r="M75" s="128"/>
      <c r="N75" s="128"/>
      <c r="O75" s="128"/>
      <c r="P75" s="107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1:54">
      <c r="A76" s="12"/>
      <c r="B76" s="26"/>
      <c r="D76" s="133"/>
      <c r="G76" s="25"/>
      <c r="H76" s="25"/>
      <c r="I76" s="25"/>
      <c r="K76" s="133"/>
      <c r="L76" s="65"/>
      <c r="M76" s="110"/>
      <c r="N76" s="110"/>
      <c r="O76" s="110"/>
      <c r="P76" s="97"/>
    </row>
    <row r="77" spans="1:54">
      <c r="A77" s="140" t="s">
        <v>8</v>
      </c>
      <c r="B77" s="141"/>
      <c r="C77" s="142">
        <f>SUM(C65+C20)</f>
        <v>6434108</v>
      </c>
      <c r="D77" s="142">
        <f>SUM(D67:D76)</f>
        <v>4159393</v>
      </c>
      <c r="E77" s="142">
        <f>SUM(E65+E20)</f>
        <v>0</v>
      </c>
      <c r="F77" s="142">
        <f>SUM(F65+F20)</f>
        <v>0</v>
      </c>
      <c r="G77" s="142">
        <f>SUM(G65+G20)</f>
        <v>4258492.9700000007</v>
      </c>
      <c r="H77" s="142" t="e">
        <f>SUM(H65+H20)</f>
        <v>#REF!</v>
      </c>
      <c r="I77" s="142" t="e">
        <f>SUM(#REF!+I69+I71+I73+I75)</f>
        <v>#REF!</v>
      </c>
      <c r="J77" s="142" t="e">
        <f>SUM(J65+J20)+J69+J71</f>
        <v>#REF!</v>
      </c>
      <c r="K77" s="142">
        <f>SUM(K67:K76)</f>
        <v>4598339</v>
      </c>
      <c r="L77" s="142">
        <f>SUM(L67:L76)</f>
        <v>4905520</v>
      </c>
      <c r="M77" s="142">
        <f>SUM(M67:M76)</f>
        <v>4796687</v>
      </c>
      <c r="N77" s="142">
        <f>SUM(N67:N76)</f>
        <v>4892664</v>
      </c>
      <c r="O77" s="142"/>
      <c r="P77" s="143" t="e">
        <f>SUM(J77)/D77</f>
        <v>#REF!</v>
      </c>
    </row>
    <row r="78" spans="1:54">
      <c r="I78" s="144"/>
    </row>
    <row r="79" spans="1:54" ht="25.5">
      <c r="A79" s="145" t="s">
        <v>108</v>
      </c>
    </row>
    <row r="80" spans="1:54" ht="14.25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</row>
    <row r="81" spans="1:54" ht="48">
      <c r="A81" s="146" t="s">
        <v>109</v>
      </c>
      <c r="B81" s="147"/>
      <c r="E81" s="148"/>
      <c r="F81" s="149"/>
      <c r="G81" s="150"/>
      <c r="H81" s="150"/>
      <c r="I81" s="150"/>
      <c r="J81" s="21"/>
      <c r="K81" s="21"/>
      <c r="L81" s="21"/>
      <c r="M81" s="21"/>
      <c r="N81" s="21"/>
      <c r="O81" s="21"/>
      <c r="P81" s="151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</row>
    <row r="82" spans="1:54">
      <c r="A82" s="153"/>
      <c r="B82" s="154"/>
      <c r="C82" s="154"/>
      <c r="D82" s="194"/>
      <c r="E82" s="194"/>
      <c r="F82" s="194"/>
      <c r="G82" s="194"/>
      <c r="H82" s="194"/>
      <c r="I82" s="194"/>
      <c r="J82" s="155"/>
      <c r="K82" s="155"/>
      <c r="L82" s="155"/>
      <c r="M82" s="155"/>
      <c r="N82" s="155"/>
      <c r="O82" s="155"/>
      <c r="P82" s="156"/>
      <c r="Q82" s="157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</row>
    <row r="83" spans="1:54">
      <c r="A83" s="159"/>
      <c r="B83" s="160"/>
      <c r="C83" s="160"/>
      <c r="D83" s="161"/>
      <c r="E83" s="161"/>
      <c r="F83" s="161"/>
      <c r="G83" s="161"/>
      <c r="H83" s="161"/>
      <c r="I83" s="161"/>
      <c r="J83" s="162"/>
      <c r="K83" s="162"/>
      <c r="L83" s="162"/>
      <c r="M83" s="162"/>
      <c r="N83" s="162"/>
      <c r="O83" s="162"/>
      <c r="P83" s="163"/>
      <c r="Q83" s="164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</row>
    <row r="84" spans="1:54" ht="15">
      <c r="A84" s="165"/>
      <c r="B84" s="166"/>
      <c r="C84" s="166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</row>
    <row r="85" spans="1:54">
      <c r="A85" s="168"/>
      <c r="B85" s="166"/>
      <c r="C85" s="166"/>
      <c r="D85" s="167"/>
      <c r="E85" s="167"/>
      <c r="F85" s="167"/>
      <c r="G85" s="167"/>
      <c r="H85" s="167"/>
      <c r="I85" s="167"/>
      <c r="J85" s="167"/>
      <c r="K85" s="167"/>
      <c r="L85" s="167"/>
      <c r="M85" s="169"/>
      <c r="N85" s="167"/>
      <c r="O85" s="170"/>
      <c r="P85" s="171"/>
      <c r="Q85" s="171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</row>
    <row r="86" spans="1:54">
      <c r="A86" s="168"/>
      <c r="B86" s="166"/>
      <c r="C86" s="166"/>
      <c r="D86" s="167"/>
      <c r="E86" s="167"/>
      <c r="F86" s="167"/>
      <c r="G86" s="167"/>
      <c r="H86" s="167"/>
      <c r="I86" s="167"/>
      <c r="J86" s="167"/>
      <c r="K86" s="167"/>
      <c r="L86" s="172"/>
      <c r="M86" s="173"/>
      <c r="N86" s="170"/>
      <c r="O86" s="170"/>
      <c r="P86" s="167"/>
      <c r="Q86" s="172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</row>
    <row r="87" spans="1:54" ht="15">
      <c r="A87" s="174"/>
      <c r="B87" s="166"/>
      <c r="C87" s="166"/>
      <c r="D87" s="167"/>
      <c r="E87" s="167"/>
      <c r="F87" s="167"/>
      <c r="G87" s="167"/>
      <c r="H87" s="167"/>
      <c r="I87" s="167"/>
      <c r="J87" s="167"/>
      <c r="K87" s="167"/>
      <c r="L87" s="167"/>
      <c r="M87" s="175"/>
      <c r="N87" s="170"/>
      <c r="O87" s="167"/>
      <c r="P87" s="167"/>
      <c r="Q87" s="167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</row>
    <row r="88" spans="1:54">
      <c r="A88" s="168"/>
      <c r="B88" s="166"/>
      <c r="C88" s="166"/>
      <c r="D88" s="167"/>
      <c r="E88" s="167"/>
      <c r="F88" s="167"/>
      <c r="G88" s="167"/>
      <c r="H88" s="167"/>
      <c r="I88" s="167"/>
      <c r="J88" s="167"/>
      <c r="K88" s="167"/>
      <c r="L88" s="167"/>
      <c r="M88" s="175"/>
      <c r="N88" s="167"/>
      <c r="O88" s="169"/>
      <c r="P88" s="167"/>
      <c r="Q88" s="167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</row>
    <row r="89" spans="1:54">
      <c r="A89" s="176"/>
      <c r="B89" s="147"/>
      <c r="C89" s="166"/>
      <c r="D89" s="167"/>
      <c r="E89" s="167"/>
      <c r="F89" s="167"/>
      <c r="G89" s="167"/>
      <c r="H89" s="167"/>
      <c r="I89" s="167"/>
      <c r="J89" s="167"/>
      <c r="K89" s="167"/>
      <c r="L89" s="167"/>
      <c r="M89" s="175"/>
      <c r="N89" s="167"/>
      <c r="O89" s="167"/>
      <c r="P89" s="171"/>
      <c r="Q89" s="167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</row>
    <row r="90" spans="1:54">
      <c r="A90" s="168"/>
      <c r="B90" s="166"/>
      <c r="C90" s="166"/>
      <c r="D90" s="175"/>
      <c r="E90" s="167"/>
      <c r="F90" s="167"/>
      <c r="G90" s="167"/>
      <c r="H90" s="167"/>
      <c r="I90" s="167"/>
      <c r="J90" s="167"/>
      <c r="K90" s="175"/>
      <c r="L90" s="167"/>
      <c r="M90" s="167"/>
      <c r="N90" s="167"/>
      <c r="O90" s="167"/>
      <c r="P90" s="167"/>
      <c r="Q90" s="167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</row>
    <row r="91" spans="1:54">
      <c r="A91" s="168"/>
      <c r="B91" s="166"/>
      <c r="C91" s="166"/>
      <c r="D91" s="175"/>
      <c r="E91" s="167"/>
      <c r="F91" s="167"/>
      <c r="G91" s="167"/>
      <c r="H91" s="167"/>
      <c r="I91" s="167"/>
      <c r="J91" s="167"/>
      <c r="K91" s="175"/>
      <c r="L91" s="167"/>
      <c r="M91" s="167"/>
      <c r="N91" s="167"/>
      <c r="O91" s="167"/>
      <c r="P91" s="167"/>
      <c r="Q91" s="167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</row>
    <row r="92" spans="1:54">
      <c r="A92" s="168"/>
      <c r="B92" s="166"/>
      <c r="C92" s="166"/>
      <c r="D92" s="175"/>
      <c r="E92" s="167"/>
      <c r="F92" s="167"/>
      <c r="G92" s="167"/>
      <c r="H92" s="167"/>
      <c r="I92" s="167"/>
      <c r="J92" s="167"/>
      <c r="K92" s="177"/>
      <c r="L92" s="167"/>
      <c r="M92" s="167"/>
      <c r="N92" s="167"/>
      <c r="O92" s="167"/>
      <c r="P92" s="167"/>
      <c r="Q92" s="167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</row>
    <row r="93" spans="1:54">
      <c r="A93" s="168"/>
      <c r="B93" s="166"/>
      <c r="C93" s="166"/>
      <c r="D93" s="175"/>
      <c r="E93" s="167"/>
      <c r="F93" s="167"/>
      <c r="G93" s="167"/>
      <c r="H93" s="167"/>
      <c r="I93" s="167"/>
      <c r="J93" s="167"/>
      <c r="K93" s="177"/>
      <c r="L93" s="167"/>
      <c r="M93" s="167"/>
      <c r="N93" s="167"/>
      <c r="O93" s="167"/>
      <c r="P93" s="167"/>
      <c r="Q93" s="167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</row>
    <row r="94" spans="1:54">
      <c r="A94" s="168"/>
      <c r="B94" s="166"/>
      <c r="C94" s="166"/>
      <c r="D94" s="175"/>
      <c r="E94" s="167"/>
      <c r="F94" s="167"/>
      <c r="G94" s="167"/>
      <c r="H94" s="167"/>
      <c r="I94" s="167"/>
      <c r="J94" s="167"/>
      <c r="K94" s="177"/>
      <c r="L94" s="167"/>
      <c r="M94" s="167"/>
      <c r="N94" s="167"/>
      <c r="O94" s="167"/>
      <c r="P94" s="167"/>
      <c r="Q94" s="167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</row>
    <row r="95" spans="1:54">
      <c r="A95" s="168"/>
      <c r="B95" s="166"/>
      <c r="C95" s="166"/>
      <c r="D95" s="175"/>
      <c r="E95" s="167"/>
      <c r="F95" s="167"/>
      <c r="G95" s="167"/>
      <c r="H95" s="167"/>
      <c r="I95" s="167"/>
      <c r="J95" s="167"/>
      <c r="K95" s="175"/>
      <c r="L95" s="167"/>
      <c r="M95" s="167"/>
      <c r="N95" s="167"/>
      <c r="O95" s="167"/>
      <c r="P95" s="167"/>
      <c r="Q95" s="167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</row>
    <row r="96" spans="1:54">
      <c r="A96" s="178"/>
      <c r="B96" s="166"/>
      <c r="C96" s="166"/>
      <c r="D96" s="175"/>
      <c r="E96" s="167"/>
      <c r="F96" s="167"/>
      <c r="G96" s="167"/>
      <c r="H96" s="167"/>
      <c r="I96" s="167"/>
      <c r="J96" s="167"/>
      <c r="K96" s="175"/>
      <c r="L96" s="167"/>
      <c r="M96" s="167"/>
      <c r="N96" s="167"/>
      <c r="O96" s="167"/>
      <c r="P96" s="167"/>
      <c r="Q96" s="167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</row>
    <row r="97" spans="1:54">
      <c r="A97" s="178"/>
      <c r="B97" s="166"/>
      <c r="C97" s="166"/>
      <c r="D97" s="175"/>
      <c r="E97" s="167"/>
      <c r="F97" s="167"/>
      <c r="G97" s="167"/>
      <c r="H97" s="167"/>
      <c r="I97" s="167"/>
      <c r="J97" s="167"/>
      <c r="K97" s="175"/>
      <c r="L97" s="167"/>
      <c r="M97" s="167"/>
      <c r="N97" s="167"/>
      <c r="O97" s="167"/>
      <c r="P97" s="167"/>
      <c r="Q97" s="167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</row>
    <row r="98" spans="1:54">
      <c r="A98" s="178"/>
      <c r="B98" s="166"/>
      <c r="C98" s="166"/>
      <c r="D98" s="175"/>
      <c r="E98" s="167"/>
      <c r="F98" s="167"/>
      <c r="G98" s="167"/>
      <c r="H98" s="167"/>
      <c r="I98" s="167"/>
      <c r="J98" s="167"/>
      <c r="K98" s="175"/>
      <c r="L98" s="167"/>
      <c r="M98" s="167"/>
      <c r="N98" s="167"/>
      <c r="O98" s="167"/>
      <c r="P98" s="167"/>
      <c r="Q98" s="167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</row>
    <row r="99" spans="1:54">
      <c r="A99" s="168"/>
      <c r="B99" s="166"/>
      <c r="C99" s="166"/>
      <c r="D99" s="175"/>
      <c r="E99" s="167"/>
      <c r="F99" s="167"/>
      <c r="G99" s="167"/>
      <c r="H99" s="167"/>
      <c r="I99" s="167"/>
      <c r="J99" s="167"/>
      <c r="K99" s="177"/>
      <c r="L99" s="167"/>
      <c r="M99" s="167"/>
      <c r="N99" s="167"/>
      <c r="O99" s="167"/>
      <c r="P99" s="167"/>
      <c r="Q99" s="167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</row>
    <row r="100" spans="1:54">
      <c r="A100" s="168"/>
      <c r="B100" s="166"/>
      <c r="C100" s="166"/>
      <c r="D100" s="171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</row>
    <row r="101" spans="1:54">
      <c r="A101" s="168"/>
      <c r="B101" s="166"/>
      <c r="C101" s="166"/>
      <c r="D101" s="171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</row>
    <row r="102" spans="1:54" ht="15">
      <c r="A102" s="166"/>
      <c r="B102" s="166"/>
      <c r="C102" s="166"/>
      <c r="D102" s="171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71"/>
      <c r="Q102" s="167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</row>
    <row r="103" spans="1:54" ht="15.75">
      <c r="A103" s="180"/>
      <c r="B103" s="166"/>
      <c r="C103" s="166"/>
      <c r="D103" s="171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71"/>
      <c r="Q103" s="167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</row>
    <row r="104" spans="1:54" ht="15">
      <c r="A104" s="168"/>
      <c r="B104" s="166"/>
      <c r="C104" s="166"/>
      <c r="D104" s="171"/>
      <c r="E104" s="167"/>
      <c r="F104" s="167"/>
      <c r="G104" s="167"/>
      <c r="H104" s="167"/>
      <c r="I104" s="167"/>
      <c r="J104" s="167"/>
      <c r="K104" s="167"/>
      <c r="L104" s="172"/>
      <c r="M104" s="170"/>
      <c r="N104" s="167"/>
      <c r="O104" s="167"/>
      <c r="P104" s="171"/>
      <c r="Q104" s="167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</row>
    <row r="105" spans="1:54" ht="15">
      <c r="A105" s="168"/>
      <c r="B105" s="166"/>
      <c r="C105" s="166"/>
      <c r="D105" s="171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71"/>
      <c r="Q105" s="167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</row>
    <row r="106" spans="1:54" ht="15">
      <c r="A106" s="168"/>
      <c r="B106" s="166"/>
      <c r="C106" s="166"/>
      <c r="D106" s="171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71"/>
      <c r="Q106" s="167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</row>
    <row r="107" spans="1:54" ht="15">
      <c r="A107" s="168"/>
      <c r="B107" s="166"/>
      <c r="C107" s="166"/>
      <c r="D107" s="171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71"/>
      <c r="Q107" s="167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</row>
    <row r="108" spans="1:54" ht="15">
      <c r="A108" s="168"/>
      <c r="B108" s="166"/>
      <c r="C108" s="166"/>
      <c r="D108" s="175"/>
      <c r="E108" s="167"/>
      <c r="F108" s="167"/>
      <c r="G108" s="167"/>
      <c r="H108" s="167"/>
      <c r="I108" s="167"/>
      <c r="J108" s="167"/>
      <c r="K108" s="177"/>
      <c r="L108" s="167"/>
      <c r="M108" s="167"/>
      <c r="N108" s="167"/>
      <c r="O108" s="167"/>
      <c r="P108" s="171"/>
      <c r="Q108" s="167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</row>
    <row r="109" spans="1:54" ht="15">
      <c r="A109" s="168"/>
      <c r="B109" s="166"/>
      <c r="C109" s="166"/>
      <c r="D109" s="175"/>
      <c r="E109" s="167"/>
      <c r="F109" s="167"/>
      <c r="G109" s="167"/>
      <c r="H109" s="167"/>
      <c r="I109" s="167"/>
      <c r="J109" s="167"/>
      <c r="K109" s="177"/>
      <c r="L109" s="167"/>
      <c r="M109" s="167"/>
      <c r="N109" s="167"/>
      <c r="O109" s="167"/>
      <c r="P109" s="171"/>
      <c r="Q109" s="167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</row>
    <row r="110" spans="1:54" ht="15">
      <c r="A110" s="181"/>
      <c r="B110" s="182"/>
      <c r="C110" s="182"/>
      <c r="D110" s="175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71"/>
      <c r="Q110" s="167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</row>
    <row r="111" spans="1:54" ht="15">
      <c r="A111" s="168"/>
      <c r="B111" s="166"/>
      <c r="C111" s="166"/>
      <c r="D111" s="175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71"/>
      <c r="Q111" s="167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</row>
    <row r="112" spans="1:54" ht="15">
      <c r="A112" s="168"/>
      <c r="B112" s="166"/>
      <c r="C112" s="166"/>
      <c r="D112" s="175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71"/>
      <c r="Q112" s="167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</row>
    <row r="113" spans="1:54" ht="15">
      <c r="A113" s="168"/>
      <c r="B113" s="166"/>
      <c r="C113" s="166"/>
      <c r="D113" s="171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71"/>
      <c r="Q113" s="167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</row>
    <row r="114" spans="1:54" ht="15">
      <c r="A114" s="168"/>
      <c r="B114" s="166"/>
      <c r="C114" s="166"/>
      <c r="D114" s="171"/>
      <c r="E114" s="167"/>
      <c r="F114" s="167"/>
      <c r="G114" s="167"/>
      <c r="H114" s="167"/>
      <c r="I114" s="167"/>
      <c r="J114" s="167"/>
      <c r="K114" s="167"/>
      <c r="L114" s="167"/>
      <c r="M114" s="167"/>
      <c r="N114" s="169"/>
      <c r="O114" s="167"/>
      <c r="P114" s="167"/>
      <c r="Q114" s="167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</row>
    <row r="115" spans="1:54" ht="15">
      <c r="A115" s="166"/>
      <c r="B115" s="166"/>
      <c r="C115" s="166"/>
      <c r="D115" s="171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71"/>
      <c r="Q115" s="167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</row>
    <row r="116" spans="1:54" ht="15">
      <c r="A116" s="166"/>
      <c r="B116" s="166"/>
      <c r="C116" s="166"/>
      <c r="D116" s="171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71"/>
      <c r="Q116" s="167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</row>
    <row r="117" spans="1:54" ht="15.75">
      <c r="A117" s="165"/>
      <c r="B117" s="166"/>
      <c r="C117" s="166"/>
      <c r="D117" s="171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71"/>
      <c r="Q117" s="167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</row>
    <row r="118" spans="1:54" ht="15">
      <c r="A118" s="166"/>
      <c r="B118" s="166"/>
      <c r="C118" s="166"/>
      <c r="D118" s="171"/>
      <c r="E118" s="167"/>
      <c r="F118" s="167"/>
      <c r="G118" s="167"/>
      <c r="H118" s="167"/>
      <c r="I118" s="167"/>
      <c r="J118" s="167"/>
      <c r="K118" s="167"/>
      <c r="L118" s="172"/>
      <c r="M118" s="170"/>
      <c r="N118" s="170"/>
      <c r="O118" s="170"/>
      <c r="P118" s="171"/>
      <c r="Q118" s="170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</row>
    <row r="119" spans="1:54">
      <c r="A119" s="168"/>
      <c r="B119" s="166"/>
      <c r="C119" s="166"/>
      <c r="D119" s="171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71"/>
      <c r="Q119" s="167"/>
    </row>
    <row r="120" spans="1:54">
      <c r="A120" s="168"/>
      <c r="B120" s="166"/>
      <c r="C120" s="166"/>
      <c r="D120" s="175"/>
      <c r="E120" s="167"/>
      <c r="F120" s="167"/>
      <c r="G120" s="167"/>
      <c r="H120" s="167"/>
      <c r="I120" s="167"/>
      <c r="J120" s="167"/>
      <c r="K120" s="177"/>
      <c r="L120" s="167"/>
      <c r="M120" s="167"/>
      <c r="N120" s="167"/>
      <c r="O120" s="167"/>
      <c r="P120" s="167"/>
      <c r="Q120" s="167"/>
    </row>
    <row r="121" spans="1:54" ht="15">
      <c r="A121" s="174"/>
      <c r="B121" s="166"/>
      <c r="C121" s="166"/>
      <c r="D121" s="175"/>
      <c r="E121" s="167"/>
      <c r="F121" s="167"/>
      <c r="G121" s="167"/>
      <c r="H121" s="167"/>
      <c r="I121" s="167"/>
      <c r="J121" s="183"/>
      <c r="K121" s="177"/>
      <c r="L121" s="183"/>
      <c r="M121" s="183"/>
      <c r="N121" s="183"/>
      <c r="O121" s="183"/>
      <c r="P121" s="183"/>
      <c r="Q121" s="183"/>
    </row>
    <row r="122" spans="1:54">
      <c r="A122" s="166"/>
      <c r="B122" s="166"/>
      <c r="C122" s="166"/>
      <c r="D122" s="171"/>
      <c r="E122" s="167"/>
      <c r="F122" s="167"/>
      <c r="G122" s="167"/>
      <c r="H122" s="167"/>
      <c r="I122" s="167"/>
      <c r="J122" s="183"/>
      <c r="K122" s="183"/>
      <c r="L122" s="183"/>
      <c r="M122" s="183"/>
      <c r="N122" s="183"/>
      <c r="O122" s="183"/>
      <c r="P122" s="183"/>
      <c r="Q122" s="183"/>
    </row>
    <row r="123" spans="1:54">
      <c r="A123" s="168"/>
      <c r="B123" s="166"/>
      <c r="C123" s="166"/>
      <c r="D123" s="171"/>
      <c r="E123" s="167"/>
      <c r="F123" s="167"/>
      <c r="G123" s="167"/>
      <c r="H123" s="167"/>
      <c r="I123" s="167"/>
      <c r="J123" s="183"/>
      <c r="K123" s="183"/>
      <c r="L123" s="183"/>
      <c r="M123" s="183"/>
      <c r="N123" s="183"/>
      <c r="O123" s="183"/>
      <c r="P123" s="183"/>
      <c r="Q123" s="183"/>
    </row>
    <row r="124" spans="1:54">
      <c r="A124" s="168"/>
      <c r="B124" s="166"/>
      <c r="C124" s="166"/>
      <c r="D124" s="171"/>
      <c r="E124" s="167"/>
      <c r="F124" s="167"/>
      <c r="G124" s="167"/>
      <c r="H124" s="167"/>
      <c r="I124" s="167"/>
      <c r="J124" s="183"/>
      <c r="K124" s="183"/>
      <c r="L124" s="183"/>
      <c r="M124" s="183"/>
      <c r="N124" s="183"/>
      <c r="O124" s="183"/>
      <c r="P124" s="183"/>
      <c r="Q124" s="183"/>
    </row>
    <row r="125" spans="1:54">
      <c r="A125" s="168"/>
      <c r="B125" s="166"/>
      <c r="C125" s="166"/>
      <c r="D125" s="175"/>
      <c r="E125" s="167"/>
      <c r="F125" s="167"/>
      <c r="G125" s="167"/>
      <c r="H125" s="167"/>
      <c r="I125" s="167"/>
      <c r="J125" s="183"/>
      <c r="K125" s="183"/>
      <c r="L125" s="175"/>
      <c r="M125" s="183"/>
      <c r="N125" s="183"/>
      <c r="O125" s="183"/>
      <c r="P125" s="183"/>
      <c r="Q125" s="183"/>
    </row>
    <row r="126" spans="1:54">
      <c r="A126" s="168"/>
      <c r="B126" s="166"/>
      <c r="C126" s="166"/>
      <c r="D126" s="175"/>
      <c r="E126" s="167"/>
      <c r="F126" s="167"/>
      <c r="G126" s="167"/>
      <c r="H126" s="167"/>
      <c r="I126" s="167"/>
      <c r="J126" s="183"/>
      <c r="K126" s="183"/>
      <c r="L126" s="175"/>
      <c r="M126" s="183"/>
      <c r="N126" s="183"/>
      <c r="O126" s="183"/>
      <c r="P126" s="183"/>
      <c r="Q126" s="183"/>
    </row>
    <row r="127" spans="1:54">
      <c r="A127" s="168"/>
      <c r="B127" s="166"/>
      <c r="C127" s="166"/>
      <c r="D127" s="175"/>
      <c r="E127" s="167"/>
      <c r="F127" s="167"/>
      <c r="G127" s="167"/>
      <c r="H127" s="167"/>
      <c r="I127" s="167"/>
      <c r="J127" s="183"/>
      <c r="K127" s="183"/>
      <c r="L127" s="175"/>
      <c r="M127" s="183"/>
      <c r="N127" s="183"/>
      <c r="O127" s="183"/>
      <c r="P127" s="183"/>
      <c r="Q127" s="183"/>
    </row>
    <row r="128" spans="1:54" ht="15">
      <c r="A128" s="166"/>
      <c r="B128" s="166"/>
      <c r="C128" s="166"/>
      <c r="D128" s="166"/>
      <c r="E128" s="166"/>
      <c r="F128" s="166"/>
      <c r="G128" s="166"/>
      <c r="H128" s="166"/>
      <c r="I128" s="184"/>
      <c r="J128" s="179"/>
      <c r="K128" s="179"/>
      <c r="L128" s="179"/>
      <c r="M128" s="179"/>
      <c r="N128" s="179"/>
      <c r="O128" s="179"/>
      <c r="P128" s="179"/>
      <c r="Q128" s="179"/>
    </row>
    <row r="129" spans="1:17" ht="15">
      <c r="A129" s="166"/>
      <c r="B129" s="166"/>
      <c r="C129" s="166"/>
      <c r="D129" s="166"/>
      <c r="E129" s="166"/>
      <c r="F129" s="166"/>
      <c r="G129" s="166"/>
      <c r="H129" s="166"/>
      <c r="I129" s="184"/>
      <c r="J129" s="179"/>
      <c r="K129" s="179"/>
      <c r="L129" s="179"/>
      <c r="M129" s="179"/>
      <c r="N129" s="179"/>
      <c r="O129" s="179"/>
      <c r="P129" s="179"/>
      <c r="Q129" s="179"/>
    </row>
    <row r="130" spans="1:17" ht="15">
      <c r="A130" s="166"/>
      <c r="B130" s="166"/>
      <c r="C130" s="166"/>
      <c r="D130" s="166"/>
      <c r="E130" s="166"/>
      <c r="F130" s="166"/>
      <c r="G130" s="166"/>
      <c r="H130" s="166"/>
      <c r="I130" s="184"/>
      <c r="J130" s="179"/>
      <c r="K130" s="179"/>
      <c r="L130" s="179"/>
      <c r="M130" s="179"/>
      <c r="N130" s="179"/>
      <c r="O130" s="179"/>
      <c r="P130" s="179"/>
      <c r="Q130" s="179"/>
    </row>
    <row r="131" spans="1:17" ht="15">
      <c r="A131" s="166"/>
      <c r="B131" s="166"/>
      <c r="C131" s="166"/>
      <c r="D131" s="166"/>
      <c r="E131" s="166"/>
      <c r="F131" s="166"/>
      <c r="G131" s="166"/>
      <c r="H131" s="166"/>
      <c r="I131" s="184"/>
      <c r="J131" s="179"/>
      <c r="K131" s="179"/>
      <c r="L131" s="179"/>
      <c r="M131" s="179"/>
      <c r="N131" s="179"/>
      <c r="O131" s="179"/>
      <c r="P131" s="179"/>
      <c r="Q131" s="179"/>
    </row>
    <row r="132" spans="1:17" ht="15">
      <c r="A132" s="166"/>
      <c r="B132" s="166"/>
      <c r="C132" s="166"/>
      <c r="D132" s="166"/>
      <c r="E132" s="166"/>
      <c r="F132" s="166"/>
      <c r="G132" s="166"/>
      <c r="H132" s="166"/>
      <c r="I132" s="184"/>
      <c r="J132" s="179"/>
      <c r="K132" s="179"/>
      <c r="L132" s="179"/>
      <c r="M132" s="179"/>
      <c r="N132" s="179"/>
      <c r="O132" s="179"/>
      <c r="P132" s="179"/>
      <c r="Q132" s="179"/>
    </row>
    <row r="133" spans="1:17" ht="15">
      <c r="A133" s="166"/>
      <c r="B133" s="166"/>
      <c r="C133" s="166"/>
      <c r="D133" s="166"/>
      <c r="E133" s="166"/>
      <c r="F133" s="166"/>
      <c r="G133" s="166"/>
      <c r="H133" s="166"/>
      <c r="I133" s="184"/>
      <c r="J133" s="179"/>
      <c r="K133" s="179"/>
      <c r="L133" s="179"/>
      <c r="M133" s="179"/>
      <c r="N133" s="179"/>
      <c r="O133" s="179"/>
      <c r="P133" s="179"/>
      <c r="Q133" s="179"/>
    </row>
    <row r="134" spans="1:17">
      <c r="A134" s="166"/>
      <c r="B134" s="166"/>
      <c r="C134" s="166"/>
      <c r="D134" s="166"/>
      <c r="E134" s="166"/>
      <c r="F134" s="166"/>
      <c r="G134" s="166"/>
      <c r="H134" s="166"/>
      <c r="I134" s="184"/>
    </row>
    <row r="135" spans="1:17">
      <c r="A135" s="166"/>
      <c r="B135" s="166"/>
      <c r="C135" s="166"/>
      <c r="D135" s="166"/>
      <c r="E135" s="166"/>
      <c r="F135" s="166"/>
      <c r="G135" s="166"/>
      <c r="H135" s="166"/>
      <c r="I135" s="184"/>
    </row>
    <row r="136" spans="1:17" ht="15">
      <c r="A136" s="179"/>
      <c r="B136" s="179"/>
      <c r="C136" s="179"/>
      <c r="D136" s="179"/>
      <c r="E136" s="179"/>
      <c r="F136" s="179"/>
      <c r="G136" s="179"/>
      <c r="H136" s="179"/>
      <c r="I136" s="184"/>
    </row>
    <row r="137" spans="1:17" ht="15">
      <c r="A137" s="179"/>
      <c r="B137" s="179"/>
      <c r="C137" s="179"/>
      <c r="D137" s="179"/>
      <c r="E137" s="179"/>
      <c r="F137" s="179"/>
      <c r="G137" s="179"/>
      <c r="H137" s="179"/>
      <c r="I137" s="184"/>
    </row>
  </sheetData>
  <mergeCells count="4">
    <mergeCell ref="B2:O2"/>
    <mergeCell ref="D6:I6"/>
    <mergeCell ref="B80:O80"/>
    <mergeCell ref="D82:I82"/>
  </mergeCells>
  <phoneticPr fontId="33" type="noConversion"/>
  <printOptions gridLines="1"/>
  <pageMargins left="0.2" right="0.2" top="0.75" bottom="7.0000000000000007E-2" header="0.3" footer="0.3"/>
  <pageSetup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BC137"/>
  <sheetViews>
    <sheetView zoomScale="115" zoomScaleNormal="115" zoomScalePageLayoutView="115" workbookViewId="0">
      <selection activeCell="D69" sqref="D69"/>
    </sheetView>
  </sheetViews>
  <sheetFormatPr defaultColWidth="8.85546875" defaultRowHeight="12.75"/>
  <cols>
    <col min="1" max="1" width="24.7109375" style="8" customWidth="1"/>
    <col min="2" max="2" width="9.7109375" style="8" hidden="1" customWidth="1"/>
    <col min="3" max="3" width="12.140625" style="13" hidden="1" customWidth="1"/>
    <col min="4" max="4" width="12.140625" style="13" customWidth="1"/>
    <col min="5" max="5" width="13.28515625" style="13" bestFit="1" customWidth="1"/>
    <col min="6" max="6" width="12.42578125" style="31" hidden="1" customWidth="1"/>
    <col min="7" max="7" width="14.42578125" style="24" hidden="1" customWidth="1"/>
    <col min="8" max="8" width="12.42578125" style="12" hidden="1" customWidth="1"/>
    <col min="9" max="9" width="10.140625" style="12" hidden="1" customWidth="1"/>
    <col min="10" max="10" width="12.7109375" style="12" hidden="1" customWidth="1"/>
    <col min="11" max="11" width="12.140625" style="109" hidden="1" customWidth="1"/>
    <col min="12" max="12" width="14.140625" style="109" bestFit="1" customWidth="1"/>
    <col min="13" max="14" width="13.85546875" style="109" bestFit="1" customWidth="1"/>
    <col min="15" max="15" width="15.7109375" style="109" customWidth="1"/>
    <col min="16" max="16" width="15.42578125" style="109" customWidth="1"/>
    <col min="17" max="17" width="9.140625" style="9" hidden="1" customWidth="1"/>
    <col min="18" max="18" width="12.42578125" style="10" bestFit="1" customWidth="1"/>
    <col min="19" max="19" width="13.28515625" style="10" customWidth="1"/>
    <col min="20" max="20" width="14.7109375" style="10" customWidth="1"/>
    <col min="21" max="55" width="8.85546875" style="10" customWidth="1"/>
    <col min="56" max="16384" width="8.85546875" style="8"/>
  </cols>
  <sheetData>
    <row r="2" spans="1:55" ht="14.25">
      <c r="B2" s="192" t="s">
        <v>110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4" spans="1:55" s="12" customFormat="1" ht="15" customHeight="1">
      <c r="A4" s="11">
        <f ca="1">NOW()</f>
        <v>40622.543461921297</v>
      </c>
      <c r="C4" s="13"/>
      <c r="D4" s="13"/>
      <c r="E4" s="14"/>
      <c r="F4" s="15"/>
      <c r="G4" s="16"/>
      <c r="H4" s="17"/>
      <c r="I4" s="17"/>
      <c r="J4" s="17"/>
      <c r="K4" s="18"/>
      <c r="M4" s="20" t="s">
        <v>111</v>
      </c>
      <c r="N4" s="21"/>
      <c r="O4" s="21"/>
      <c r="P4" s="21"/>
      <c r="Q4" s="9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12" customFormat="1" ht="15" customHeight="1">
      <c r="A5" s="11"/>
      <c r="C5" s="13"/>
      <c r="D5" s="13"/>
      <c r="F5" s="23"/>
      <c r="G5" s="24"/>
      <c r="H5" s="25"/>
      <c r="I5" s="25"/>
      <c r="J5" s="25"/>
      <c r="K5" s="21"/>
      <c r="L5" s="26"/>
      <c r="M5" s="21"/>
      <c r="N5" s="21"/>
      <c r="O5" s="21"/>
      <c r="P5" s="21"/>
      <c r="Q5" s="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12" customFormat="1" ht="15" customHeight="1">
      <c r="B6" s="27" t="s">
        <v>15</v>
      </c>
      <c r="C6" s="27"/>
      <c r="D6" s="26" t="s">
        <v>6</v>
      </c>
      <c r="E6" s="193" t="s">
        <v>112</v>
      </c>
      <c r="F6" s="193"/>
      <c r="G6" s="193"/>
      <c r="H6" s="193"/>
      <c r="I6" s="193"/>
      <c r="J6" s="193"/>
      <c r="K6" s="28"/>
      <c r="L6" s="28" t="s">
        <v>18</v>
      </c>
      <c r="M6" s="28" t="s">
        <v>19</v>
      </c>
      <c r="N6" s="28" t="s">
        <v>20</v>
      </c>
      <c r="O6" s="28" t="s">
        <v>113</v>
      </c>
      <c r="P6" s="28" t="s">
        <v>114</v>
      </c>
      <c r="Q6" s="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s="12" customFormat="1" ht="15" customHeight="1">
      <c r="B7" s="26" t="s">
        <v>21</v>
      </c>
      <c r="C7" s="29" t="s">
        <v>22</v>
      </c>
      <c r="D7" s="29" t="s">
        <v>151</v>
      </c>
      <c r="E7" s="30" t="s">
        <v>115</v>
      </c>
      <c r="F7" s="31"/>
      <c r="G7" s="32"/>
      <c r="H7" s="33"/>
      <c r="I7" s="33"/>
      <c r="J7" s="33" t="s">
        <v>24</v>
      </c>
      <c r="K7" s="21"/>
      <c r="L7" s="21" t="s">
        <v>26</v>
      </c>
      <c r="M7" s="21" t="s">
        <v>26</v>
      </c>
      <c r="N7" s="28" t="s">
        <v>26</v>
      </c>
      <c r="O7" s="28" t="s">
        <v>26</v>
      </c>
      <c r="P7" s="28" t="s">
        <v>26</v>
      </c>
      <c r="Q7" s="34" t="s">
        <v>27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12" customFormat="1" ht="15" customHeight="1" thickBot="1">
      <c r="A8" s="35" t="s">
        <v>28</v>
      </c>
      <c r="B8" s="36" t="s">
        <v>29</v>
      </c>
      <c r="C8" s="37" t="s">
        <v>30</v>
      </c>
      <c r="D8" s="37" t="s">
        <v>30</v>
      </c>
      <c r="E8" s="38" t="s">
        <v>30</v>
      </c>
      <c r="F8" s="39"/>
      <c r="G8" s="40"/>
      <c r="H8" s="41" t="s">
        <v>32</v>
      </c>
      <c r="I8" s="41" t="s">
        <v>33</v>
      </c>
      <c r="J8" s="41" t="s">
        <v>34</v>
      </c>
      <c r="K8" s="42" t="s">
        <v>35</v>
      </c>
      <c r="L8" s="42" t="s">
        <v>37</v>
      </c>
      <c r="M8" s="42" t="s">
        <v>37</v>
      </c>
      <c r="N8" s="43" t="s">
        <v>37</v>
      </c>
      <c r="O8" s="43" t="s">
        <v>37</v>
      </c>
      <c r="P8" s="43" t="s">
        <v>37</v>
      </c>
      <c r="Q8" s="44" t="s">
        <v>38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12" customFormat="1" ht="15" hidden="1" customHeight="1" thickTop="1">
      <c r="A9" s="45" t="s">
        <v>39</v>
      </c>
      <c r="B9" s="46"/>
      <c r="C9" s="47"/>
      <c r="D9" s="47"/>
      <c r="E9" s="47"/>
      <c r="F9" s="48"/>
      <c r="G9" s="49"/>
      <c r="H9" s="50"/>
      <c r="I9" s="50"/>
      <c r="J9" s="50"/>
      <c r="K9" s="51"/>
      <c r="L9" s="51"/>
      <c r="M9" s="52"/>
      <c r="N9" s="53"/>
      <c r="O9" s="53"/>
      <c r="P9" s="53"/>
      <c r="Q9" s="54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12" customFormat="1" ht="15" hidden="1" customHeight="1">
      <c r="A10" s="55" t="s">
        <v>40</v>
      </c>
      <c r="B10" s="56">
        <v>60100</v>
      </c>
      <c r="C10" s="57">
        <v>2532854</v>
      </c>
      <c r="D10" s="57"/>
      <c r="E10" s="58">
        <v>2686840</v>
      </c>
      <c r="F10" s="59"/>
      <c r="G10" s="60"/>
      <c r="H10" s="61">
        <v>1697131.53</v>
      </c>
      <c r="I10" s="62"/>
      <c r="J10" s="62">
        <f>SUM(H10:I10)</f>
        <v>1697131.53</v>
      </c>
      <c r="K10" s="63">
        <f>SUM(E10)-H10</f>
        <v>989708.47</v>
      </c>
      <c r="L10" s="64">
        <v>2521544.56</v>
      </c>
      <c r="M10" s="65">
        <v>2528765.2799999998</v>
      </c>
      <c r="N10" s="66">
        <v>2178750</v>
      </c>
      <c r="O10" s="66">
        <f>2088937.35</f>
        <v>2088937.35</v>
      </c>
      <c r="P10" s="66">
        <v>1693910.15</v>
      </c>
      <c r="Q10" s="67">
        <f>SUM(K10)/E10</f>
        <v>0.3683540776525584</v>
      </c>
      <c r="R10" s="22"/>
      <c r="S10" s="6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12" customFormat="1" ht="15" hidden="1" customHeight="1">
      <c r="A11" s="69" t="s">
        <v>41</v>
      </c>
      <c r="B11" s="70">
        <v>60105</v>
      </c>
      <c r="C11" s="13"/>
      <c r="D11" s="13"/>
      <c r="E11" s="13">
        <v>77237</v>
      </c>
      <c r="F11" s="71" t="s">
        <v>42</v>
      </c>
      <c r="G11" s="72" t="s">
        <v>42</v>
      </c>
      <c r="H11" s="62">
        <v>76964.59</v>
      </c>
      <c r="I11" s="62">
        <v>0</v>
      </c>
      <c r="J11" s="62">
        <f>SUM(H11:I11)</f>
        <v>76964.59</v>
      </c>
      <c r="K11" s="73">
        <f>SUM(E11)-H11-I11</f>
        <v>272.41000000000349</v>
      </c>
      <c r="L11" s="74">
        <f>3843+131334.87</f>
        <v>135177.87</v>
      </c>
      <c r="M11" s="65">
        <v>292979.21000000002</v>
      </c>
      <c r="N11" s="66">
        <v>146363</v>
      </c>
      <c r="O11" s="66">
        <v>140833.59</v>
      </c>
      <c r="P11" s="66">
        <v>240240.75</v>
      </c>
      <c r="Q11" s="67">
        <f>SUM(K11)/E11</f>
        <v>3.5269365718503241E-3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12" customFormat="1" ht="15" hidden="1" customHeight="1">
      <c r="A12" s="55" t="s">
        <v>43</v>
      </c>
      <c r="B12" s="75" t="s">
        <v>15</v>
      </c>
      <c r="C12" s="76"/>
      <c r="D12" s="76"/>
      <c r="E12" s="58">
        <v>0</v>
      </c>
      <c r="F12" s="71" t="s">
        <v>43</v>
      </c>
      <c r="G12" s="72" t="s">
        <v>43</v>
      </c>
      <c r="H12" s="62">
        <v>0</v>
      </c>
      <c r="I12" s="62">
        <v>0</v>
      </c>
      <c r="J12" s="62">
        <f>SUM(H12:I12)</f>
        <v>0</v>
      </c>
      <c r="K12" s="63">
        <v>0</v>
      </c>
      <c r="L12" s="64"/>
      <c r="M12" s="65"/>
      <c r="N12" s="66">
        <v>130486</v>
      </c>
      <c r="O12" s="66">
        <v>132151.15</v>
      </c>
      <c r="P12" s="66"/>
      <c r="Q12" s="67" t="e">
        <f>SUM(K12)/E12</f>
        <v>#DIV/0!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86" customFormat="1" ht="15" hidden="1" customHeight="1">
      <c r="A13" s="45" t="s">
        <v>44</v>
      </c>
      <c r="B13" s="77"/>
      <c r="C13" s="78"/>
      <c r="D13" s="78"/>
      <c r="E13" s="78"/>
      <c r="F13" s="79"/>
      <c r="G13" s="80"/>
      <c r="H13" s="81"/>
      <c r="I13" s="81"/>
      <c r="J13" s="81"/>
      <c r="K13" s="82"/>
      <c r="L13" s="82"/>
      <c r="M13" s="83"/>
      <c r="N13" s="84"/>
      <c r="O13" s="84"/>
      <c r="P13" s="84"/>
      <c r="Q13" s="8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15" hidden="1" customHeight="1">
      <c r="A14" s="55" t="s">
        <v>45</v>
      </c>
      <c r="B14" s="70">
        <v>60200</v>
      </c>
      <c r="C14" s="13">
        <v>2564551</v>
      </c>
      <c r="E14" s="13">
        <v>2668943</v>
      </c>
      <c r="F14" s="87"/>
      <c r="G14" s="88"/>
      <c r="H14" s="61">
        <v>1696972.48</v>
      </c>
      <c r="I14" s="61"/>
      <c r="J14" s="61">
        <f>SUM(H14:I14)</f>
        <v>1696972.48</v>
      </c>
      <c r="K14" s="63">
        <f>SUM(E14)-H14</f>
        <v>971970.52</v>
      </c>
      <c r="L14" s="64">
        <v>2629196.2599999998</v>
      </c>
      <c r="M14" s="65">
        <v>2760400.43</v>
      </c>
      <c r="N14" s="66">
        <v>2658163</v>
      </c>
      <c r="O14" s="66">
        <f>2255244.77</f>
        <v>2255244.77</v>
      </c>
      <c r="P14" s="66">
        <v>1885566.95</v>
      </c>
      <c r="Q14" s="67">
        <f>SUM(K14)/E14</f>
        <v>0.36417807349201536</v>
      </c>
    </row>
    <row r="15" spans="1:55" ht="15" hidden="1" customHeight="1">
      <c r="A15" s="69" t="s">
        <v>46</v>
      </c>
      <c r="B15" s="56">
        <v>60501</v>
      </c>
      <c r="C15" s="13">
        <v>101142</v>
      </c>
      <c r="E15" s="13">
        <v>93609</v>
      </c>
      <c r="F15" s="87"/>
      <c r="G15" s="88"/>
      <c r="H15" s="61">
        <f>SUM(H16:H18)</f>
        <v>43565.93</v>
      </c>
      <c r="I15" s="61">
        <f>SUM(I16:I18)</f>
        <v>0</v>
      </c>
      <c r="J15" s="61">
        <f>SUM(H15:I15)</f>
        <v>43565.93</v>
      </c>
      <c r="K15" s="63">
        <f>SUM(E15)-H15-I15</f>
        <v>50043.07</v>
      </c>
      <c r="L15" s="64">
        <f>58953.38+6647.65</f>
        <v>65601.03</v>
      </c>
      <c r="M15" s="65">
        <v>68403.69</v>
      </c>
      <c r="N15" s="66">
        <v>69777</v>
      </c>
      <c r="O15" s="66">
        <f>69911.69+300.01</f>
        <v>70211.7</v>
      </c>
      <c r="P15" s="66">
        <f>93753.77+1193.97</f>
        <v>94947.74</v>
      </c>
      <c r="Q15" s="67">
        <f>SUM(K15)/E15</f>
        <v>0.53459678022412371</v>
      </c>
    </row>
    <row r="16" spans="1:55" ht="15" hidden="1" customHeight="1">
      <c r="A16" s="89" t="s">
        <v>47</v>
      </c>
      <c r="B16" s="26"/>
      <c r="E16" s="90"/>
      <c r="F16" s="91" t="s">
        <v>47</v>
      </c>
      <c r="G16" s="92" t="s">
        <v>47</v>
      </c>
      <c r="H16" s="93">
        <v>43565.93</v>
      </c>
      <c r="I16" s="93">
        <v>0</v>
      </c>
      <c r="J16" s="93">
        <f>SUM(H16:I16)</f>
        <v>43565.93</v>
      </c>
      <c r="K16" s="94"/>
      <c r="L16" s="94">
        <v>65601</v>
      </c>
      <c r="M16" s="95">
        <v>66881.41</v>
      </c>
      <c r="N16" s="96">
        <v>63411</v>
      </c>
      <c r="O16" s="96">
        <v>51544.42</v>
      </c>
      <c r="P16" s="96">
        <v>52998.32</v>
      </c>
      <c r="Q16" s="97"/>
    </row>
    <row r="17" spans="1:55" ht="15" hidden="1" customHeight="1">
      <c r="A17" s="89"/>
      <c r="B17" s="26"/>
      <c r="E17" s="90"/>
      <c r="F17" s="91"/>
      <c r="G17" s="92"/>
      <c r="H17" s="93"/>
      <c r="I17" s="93"/>
      <c r="J17" s="93"/>
      <c r="K17" s="94"/>
      <c r="L17" s="94"/>
      <c r="M17" s="95"/>
      <c r="N17" s="96"/>
      <c r="O17" s="96"/>
      <c r="P17" s="96"/>
      <c r="Q17" s="97"/>
    </row>
    <row r="18" spans="1:55" ht="13.5" hidden="1" thickTop="1">
      <c r="A18" s="89" t="s">
        <v>48</v>
      </c>
      <c r="B18" s="26"/>
      <c r="E18" s="90"/>
      <c r="F18" s="91" t="s">
        <v>48</v>
      </c>
      <c r="G18" s="92" t="s">
        <v>48</v>
      </c>
      <c r="H18" s="93">
        <v>0</v>
      </c>
      <c r="I18" s="93">
        <v>0</v>
      </c>
      <c r="J18" s="93">
        <f>SUM(H18:I18)</f>
        <v>0</v>
      </c>
      <c r="K18" s="94"/>
      <c r="L18" s="94">
        <v>0</v>
      </c>
      <c r="M18" s="95">
        <v>1522.28</v>
      </c>
      <c r="N18" s="96">
        <v>6366</v>
      </c>
      <c r="O18" s="96">
        <f>18367.27+300.01</f>
        <v>18667.28</v>
      </c>
      <c r="P18" s="96">
        <v>41949.68</v>
      </c>
      <c r="Q18" s="97"/>
    </row>
    <row r="19" spans="1:55" ht="13.5" hidden="1" thickTop="1">
      <c r="A19" s="98" t="s">
        <v>49</v>
      </c>
      <c r="B19" s="99"/>
      <c r="E19" s="13">
        <v>1001218.2699999996</v>
      </c>
      <c r="F19" s="71"/>
      <c r="G19" s="72"/>
      <c r="H19" s="93"/>
      <c r="I19" s="93"/>
      <c r="J19" s="61">
        <v>1021955.5500000003</v>
      </c>
      <c r="K19" s="64"/>
      <c r="L19" s="64">
        <f>6736867.35-L10-L11-L14</f>
        <v>1450948.6599999992</v>
      </c>
      <c r="M19" s="65">
        <v>1393756</v>
      </c>
      <c r="N19" s="66">
        <v>1282108</v>
      </c>
      <c r="O19" s="66">
        <v>1108537.83</v>
      </c>
      <c r="P19" s="66">
        <f>941620.31+5500</f>
        <v>947120.31</v>
      </c>
      <c r="Q19" s="97"/>
    </row>
    <row r="20" spans="1:55" s="108" customFormat="1" ht="13.5" hidden="1" thickTop="1">
      <c r="A20" s="100" t="s">
        <v>50</v>
      </c>
      <c r="B20" s="101"/>
      <c r="C20" s="102">
        <f>SUM(C10:C15)</f>
        <v>5198547</v>
      </c>
      <c r="D20" s="102"/>
      <c r="E20" s="103">
        <f>SUM(E10+E11+E12+E14+E15+E19)</f>
        <v>6527847.2699999996</v>
      </c>
      <c r="F20" s="104"/>
      <c r="G20" s="105"/>
      <c r="H20" s="103">
        <f>SUM(H10+H11+H12+H14+H15)</f>
        <v>3514634.5300000003</v>
      </c>
      <c r="I20" s="103">
        <f>SUM(I10+I11+I14+I15)</f>
        <v>0</v>
      </c>
      <c r="J20" s="103">
        <f>SUM(J10+J11+J12+J14+J15+J19)</f>
        <v>4536590.08</v>
      </c>
      <c r="K20" s="103">
        <f>SUM(K10+K11+K14+K15)</f>
        <v>2011994.47</v>
      </c>
      <c r="L20" s="106">
        <f>SUM(L10+L11+L12+L14+L15+L19)</f>
        <v>6802468.379999999</v>
      </c>
      <c r="M20" s="106">
        <f>SUM(M10+M11+M12+M14+M15+M19)</f>
        <v>7044304.6100000003</v>
      </c>
      <c r="N20" s="106">
        <f>SUM(N10+N11+N12+N14+N15+N19)</f>
        <v>6465647</v>
      </c>
      <c r="O20" s="103">
        <f>SUM(O10+O11+O12+O14+O15+O19)</f>
        <v>5795916.3899999997</v>
      </c>
      <c r="P20" s="103">
        <f>SUM(P10+P11+P12+P14+P15+P19)</f>
        <v>4861785.9000000004</v>
      </c>
      <c r="Q20" s="107">
        <f>SUM(K20)/E20</f>
        <v>0.3082171482850885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3.5" hidden="1" thickTop="1">
      <c r="A21" s="12"/>
      <c r="B21" s="26"/>
      <c r="H21" s="25"/>
      <c r="I21" s="25"/>
      <c r="J21" s="25"/>
      <c r="M21" s="65"/>
      <c r="N21" s="110"/>
      <c r="O21" s="110"/>
      <c r="P21" s="110"/>
      <c r="Q21" s="97"/>
    </row>
    <row r="22" spans="1:55" ht="13.5" hidden="1" thickTop="1">
      <c r="A22" s="19" t="s">
        <v>51</v>
      </c>
      <c r="B22" s="56">
        <v>60521</v>
      </c>
      <c r="C22" s="13">
        <f>123530</f>
        <v>123530</v>
      </c>
      <c r="E22" s="13">
        <v>232530</v>
      </c>
      <c r="G22" s="24">
        <v>60521</v>
      </c>
      <c r="H22" s="61">
        <v>149969.66</v>
      </c>
      <c r="I22" s="61">
        <v>0</v>
      </c>
      <c r="J22" s="61">
        <f>SUM(H22:I22)</f>
        <v>149969.66</v>
      </c>
      <c r="K22" s="111">
        <f>SUM(E22)-H22-I22</f>
        <v>82560.34</v>
      </c>
      <c r="L22" s="112">
        <v>190939.81</v>
      </c>
      <c r="M22" s="113">
        <v>225209.67</v>
      </c>
      <c r="N22" s="114">
        <v>152175</v>
      </c>
      <c r="O22" s="114">
        <f>124354.37+13277.53</f>
        <v>137631.9</v>
      </c>
      <c r="P22" s="114">
        <f>108691.36+8492.06</f>
        <v>117183.42</v>
      </c>
      <c r="Q22" s="67">
        <f>SUM(K22)/E22</f>
        <v>0.35505242334322451</v>
      </c>
    </row>
    <row r="23" spans="1:55" ht="13.5" hidden="1" thickTop="1">
      <c r="A23" s="12" t="s">
        <v>52</v>
      </c>
      <c r="B23" s="56">
        <v>60521</v>
      </c>
      <c r="E23" s="13">
        <v>101890</v>
      </c>
      <c r="F23" s="31" t="s">
        <v>53</v>
      </c>
      <c r="G23" s="32" t="s">
        <v>54</v>
      </c>
      <c r="H23" s="61">
        <v>17468.810000000001</v>
      </c>
      <c r="I23" s="61">
        <v>0</v>
      </c>
      <c r="J23" s="61">
        <f t="shared" ref="J23:J50" si="0">SUM(H23:I23)</f>
        <v>17468.810000000001</v>
      </c>
      <c r="M23" s="65"/>
      <c r="N23" s="110"/>
      <c r="O23" s="110"/>
      <c r="P23" s="110"/>
      <c r="Q23" s="97"/>
    </row>
    <row r="24" spans="1:55" ht="13.5" hidden="1" thickTop="1">
      <c r="A24" s="19" t="s">
        <v>55</v>
      </c>
      <c r="B24" s="56">
        <v>72000</v>
      </c>
      <c r="C24" s="13">
        <v>90236</v>
      </c>
      <c r="E24" s="13">
        <v>82242</v>
      </c>
      <c r="H24" s="61">
        <v>70743.55</v>
      </c>
      <c r="I24" s="61">
        <v>35.590000000000003</v>
      </c>
      <c r="J24" s="61">
        <f t="shared" si="0"/>
        <v>70779.14</v>
      </c>
      <c r="K24" s="111">
        <f>SUM(E24)-H24-I24</f>
        <v>11462.859999999997</v>
      </c>
      <c r="L24" s="112">
        <v>64051.1</v>
      </c>
      <c r="M24" s="113">
        <v>108282.48</v>
      </c>
      <c r="N24" s="114">
        <v>210560</v>
      </c>
      <c r="O24" s="114">
        <v>239560.71</v>
      </c>
      <c r="P24" s="114">
        <v>205094.65</v>
      </c>
      <c r="Q24" s="67">
        <f>SUM(K24)/E24</f>
        <v>0.13937963570924827</v>
      </c>
    </row>
    <row r="25" spans="1:55" ht="13.5" hidden="1" thickTop="1">
      <c r="A25" s="12"/>
      <c r="B25" s="56"/>
      <c r="F25" s="23" t="s">
        <v>56</v>
      </c>
      <c r="G25" s="32">
        <v>72150</v>
      </c>
      <c r="H25" s="61"/>
      <c r="I25" s="61">
        <f>[1]Sheet1!$W$71</f>
        <v>0</v>
      </c>
      <c r="J25" s="61">
        <f t="shared" si="0"/>
        <v>0</v>
      </c>
      <c r="M25" s="65"/>
      <c r="N25" s="110"/>
      <c r="O25" s="110"/>
      <c r="P25" s="110"/>
      <c r="Q25" s="97"/>
    </row>
    <row r="26" spans="1:55" ht="13.5" hidden="1" thickTop="1">
      <c r="A26" s="12"/>
      <c r="B26" s="56"/>
      <c r="F26" s="23" t="s">
        <v>57</v>
      </c>
      <c r="G26" s="32" t="s">
        <v>58</v>
      </c>
      <c r="H26" s="61"/>
      <c r="I26" s="61">
        <f>[1]Sheet1!$W$91</f>
        <v>0</v>
      </c>
      <c r="J26" s="61">
        <f t="shared" si="0"/>
        <v>0</v>
      </c>
      <c r="M26" s="65"/>
      <c r="N26" s="110"/>
      <c r="O26" s="110"/>
      <c r="P26" s="110"/>
      <c r="Q26" s="97"/>
    </row>
    <row r="27" spans="1:55" ht="13.5" hidden="1" thickTop="1">
      <c r="A27" s="12"/>
      <c r="B27" s="56"/>
      <c r="F27" s="23" t="s">
        <v>59</v>
      </c>
      <c r="G27" s="32" t="s">
        <v>60</v>
      </c>
      <c r="H27" s="115"/>
      <c r="I27" s="61">
        <f>[1]Sheet1!$W$109</f>
        <v>0</v>
      </c>
      <c r="J27" s="61">
        <f t="shared" si="0"/>
        <v>0</v>
      </c>
      <c r="M27" s="65"/>
      <c r="N27" s="110"/>
      <c r="O27" s="110"/>
      <c r="P27" s="110"/>
      <c r="Q27" s="97"/>
    </row>
    <row r="28" spans="1:55" ht="13.5" hidden="1" thickTop="1">
      <c r="A28" s="12"/>
      <c r="B28" s="56"/>
      <c r="F28" s="23" t="s">
        <v>61</v>
      </c>
      <c r="G28" s="32" t="s">
        <v>62</v>
      </c>
      <c r="H28" s="115"/>
      <c r="I28" s="61">
        <v>0</v>
      </c>
      <c r="J28" s="61">
        <f t="shared" si="0"/>
        <v>0</v>
      </c>
      <c r="M28" s="65"/>
      <c r="N28" s="110"/>
      <c r="O28" s="110"/>
      <c r="P28" s="110"/>
      <c r="Q28" s="97"/>
    </row>
    <row r="29" spans="1:55" ht="13.5" hidden="1" thickTop="1">
      <c r="A29" s="12"/>
      <c r="B29" s="56"/>
      <c r="F29" s="23" t="s">
        <v>63</v>
      </c>
      <c r="G29" s="32" t="s">
        <v>64</v>
      </c>
      <c r="H29" s="115"/>
      <c r="I29" s="61">
        <v>0</v>
      </c>
      <c r="J29" s="61">
        <f t="shared" si="0"/>
        <v>0</v>
      </c>
      <c r="M29" s="65"/>
      <c r="N29" s="110"/>
      <c r="O29" s="110"/>
      <c r="P29" s="110"/>
      <c r="Q29" s="97"/>
    </row>
    <row r="30" spans="1:55" ht="13.5" hidden="1" thickTop="1">
      <c r="A30" s="12"/>
      <c r="B30" s="56"/>
      <c r="F30" s="23" t="s">
        <v>65</v>
      </c>
      <c r="G30" s="32" t="s">
        <v>66</v>
      </c>
      <c r="H30" s="61"/>
      <c r="I30" s="61">
        <v>0</v>
      </c>
      <c r="J30" s="61">
        <f t="shared" si="0"/>
        <v>0</v>
      </c>
      <c r="M30" s="65"/>
      <c r="N30" s="110"/>
      <c r="O30" s="110"/>
      <c r="P30" s="110"/>
      <c r="Q30" s="97"/>
    </row>
    <row r="31" spans="1:55" ht="13.5" hidden="1" thickTop="1">
      <c r="A31" s="12"/>
      <c r="B31" s="56"/>
      <c r="G31" s="32"/>
      <c r="H31" s="61"/>
      <c r="I31" s="61">
        <f>SUM(I25:I30)</f>
        <v>0</v>
      </c>
      <c r="J31" s="61">
        <f t="shared" si="0"/>
        <v>0</v>
      </c>
      <c r="M31" s="65"/>
      <c r="N31" s="110"/>
      <c r="O31" s="110"/>
      <c r="P31" s="110"/>
      <c r="Q31" s="97"/>
    </row>
    <row r="32" spans="1:55" ht="24.75" hidden="1" thickTop="1">
      <c r="A32" s="116" t="s">
        <v>67</v>
      </c>
      <c r="B32" s="56">
        <v>72350</v>
      </c>
      <c r="C32" s="13">
        <v>245565</v>
      </c>
      <c r="E32" s="13">
        <v>220915</v>
      </c>
      <c r="H32" s="61">
        <v>113393.95999999999</v>
      </c>
      <c r="I32" s="61">
        <v>0</v>
      </c>
      <c r="J32" s="61">
        <f t="shared" si="0"/>
        <v>113393.95999999999</v>
      </c>
      <c r="K32" s="111">
        <f>SUM(E32)-H32-I32</f>
        <v>107521.04000000001</v>
      </c>
      <c r="L32" s="112">
        <v>219446.55</v>
      </c>
      <c r="M32" s="113">
        <v>199955.58</v>
      </c>
      <c r="N32" s="114">
        <v>51181</v>
      </c>
      <c r="O32" s="114">
        <v>221814.84</v>
      </c>
      <c r="P32" s="114">
        <v>152483.43</v>
      </c>
      <c r="Q32" s="67">
        <f>SUM(K32)/E32</f>
        <v>0.4867077382703755</v>
      </c>
    </row>
    <row r="33" spans="1:17" ht="13.5" hidden="1" thickTop="1">
      <c r="B33" s="117"/>
      <c r="G33" s="32" t="s">
        <v>68</v>
      </c>
      <c r="H33" s="61"/>
      <c r="I33" s="61">
        <v>0</v>
      </c>
      <c r="J33" s="61">
        <f t="shared" si="0"/>
        <v>0</v>
      </c>
      <c r="M33" s="65"/>
      <c r="N33" s="110"/>
      <c r="O33" s="110"/>
      <c r="P33" s="110"/>
      <c r="Q33" s="97"/>
    </row>
    <row r="34" spans="1:17" ht="13.5" hidden="1" thickTop="1">
      <c r="A34" s="116" t="s">
        <v>69</v>
      </c>
      <c r="B34" s="56">
        <v>72400</v>
      </c>
      <c r="C34" s="13">
        <v>354473</v>
      </c>
      <c r="E34" s="13">
        <v>359364</v>
      </c>
      <c r="H34" s="61">
        <v>164742.96</v>
      </c>
      <c r="I34" s="61">
        <v>106122.28</v>
      </c>
      <c r="J34" s="61">
        <f t="shared" si="0"/>
        <v>270865.24</v>
      </c>
      <c r="K34" s="111">
        <f>SUM(E34)-H34-I34</f>
        <v>88498.760000000009</v>
      </c>
      <c r="L34" s="112">
        <v>86059.9</v>
      </c>
      <c r="M34" s="113">
        <v>87821.84</v>
      </c>
      <c r="N34" s="114">
        <v>490233</v>
      </c>
      <c r="O34" s="114">
        <v>313946</v>
      </c>
      <c r="P34" s="114">
        <f>394778.86-13127.97</f>
        <v>381650.89</v>
      </c>
      <c r="Q34" s="67">
        <f>SUM(K34)/E34</f>
        <v>0.24626495697955278</v>
      </c>
    </row>
    <row r="35" spans="1:17" ht="13.5" hidden="1" thickTop="1">
      <c r="A35" s="12"/>
      <c r="B35" s="56"/>
      <c r="F35" s="23" t="s">
        <v>70</v>
      </c>
      <c r="G35" s="32" t="s">
        <v>71</v>
      </c>
      <c r="H35" s="61"/>
      <c r="I35" s="61">
        <v>0</v>
      </c>
      <c r="J35" s="61">
        <f t="shared" si="0"/>
        <v>0</v>
      </c>
      <c r="M35" s="65"/>
      <c r="N35" s="110"/>
      <c r="O35" s="110"/>
      <c r="P35" s="110"/>
      <c r="Q35" s="97"/>
    </row>
    <row r="36" spans="1:17" ht="13.5" hidden="1" thickTop="1">
      <c r="A36" s="12"/>
      <c r="B36" s="118"/>
      <c r="F36" s="23" t="s">
        <v>72</v>
      </c>
      <c r="G36" s="32" t="s">
        <v>73</v>
      </c>
      <c r="H36" s="61"/>
      <c r="I36" s="61" t="s">
        <v>15</v>
      </c>
      <c r="J36" s="61">
        <f t="shared" si="0"/>
        <v>0</v>
      </c>
      <c r="M36" s="65"/>
      <c r="N36" s="110"/>
      <c r="O36" s="110"/>
      <c r="P36" s="110"/>
      <c r="Q36" s="97"/>
    </row>
    <row r="37" spans="1:17" ht="13.5" hidden="1" thickTop="1">
      <c r="A37" s="12"/>
      <c r="B37" s="56"/>
      <c r="F37" s="23" t="s">
        <v>57</v>
      </c>
      <c r="G37" s="32" t="s">
        <v>74</v>
      </c>
      <c r="H37" s="61"/>
      <c r="I37" s="61">
        <v>0</v>
      </c>
      <c r="J37" s="61">
        <f t="shared" si="0"/>
        <v>0</v>
      </c>
      <c r="M37" s="65"/>
      <c r="N37" s="110"/>
      <c r="O37" s="110"/>
      <c r="P37" s="110"/>
      <c r="Q37" s="97"/>
    </row>
    <row r="38" spans="1:17" ht="13.5" hidden="1" thickTop="1">
      <c r="A38" s="12"/>
      <c r="B38" s="56"/>
      <c r="F38" s="23" t="s">
        <v>65</v>
      </c>
      <c r="G38" s="32" t="s">
        <v>75</v>
      </c>
      <c r="H38" s="61"/>
      <c r="I38" s="61">
        <v>0</v>
      </c>
      <c r="J38" s="61">
        <f t="shared" si="0"/>
        <v>0</v>
      </c>
      <c r="M38" s="65"/>
      <c r="N38" s="110"/>
      <c r="O38" s="110"/>
      <c r="P38" s="110"/>
      <c r="Q38" s="97"/>
    </row>
    <row r="39" spans="1:17" ht="13.5" hidden="1" thickTop="1">
      <c r="A39" s="12"/>
      <c r="B39" s="56"/>
      <c r="H39" s="61"/>
      <c r="I39" s="61">
        <f>SUM(I35:I38)</f>
        <v>0</v>
      </c>
      <c r="J39" s="61">
        <f t="shared" si="0"/>
        <v>0</v>
      </c>
      <c r="M39" s="65"/>
      <c r="N39" s="110"/>
      <c r="O39" s="110"/>
      <c r="P39" s="110"/>
      <c r="Q39" s="97"/>
    </row>
    <row r="40" spans="1:17" ht="13.5" hidden="1" thickTop="1">
      <c r="A40" s="116" t="s">
        <v>76</v>
      </c>
      <c r="B40" s="56">
        <v>73000</v>
      </c>
      <c r="C40" s="13">
        <v>93785</v>
      </c>
      <c r="E40" s="13">
        <v>55619</v>
      </c>
      <c r="H40" s="115">
        <v>51640.31</v>
      </c>
      <c r="I40" s="115">
        <v>3500</v>
      </c>
      <c r="J40" s="61">
        <f t="shared" si="0"/>
        <v>55140.31</v>
      </c>
      <c r="K40" s="111">
        <f>SUM(E40)-H40-I40</f>
        <v>478.69000000000233</v>
      </c>
      <c r="L40" s="112">
        <v>24203.99</v>
      </c>
      <c r="M40" s="113">
        <v>16101.07</v>
      </c>
      <c r="N40" s="114">
        <v>92317</v>
      </c>
      <c r="O40" s="114">
        <v>36347</v>
      </c>
      <c r="P40" s="114">
        <v>11193.03</v>
      </c>
      <c r="Q40" s="67">
        <f>SUM(K40)/E40</f>
        <v>8.6065912727665422E-3</v>
      </c>
    </row>
    <row r="41" spans="1:17" ht="13.5" hidden="1" thickTop="1">
      <c r="A41" s="12" t="s">
        <v>15</v>
      </c>
      <c r="B41" s="56"/>
      <c r="E41" s="13">
        <v>0</v>
      </c>
      <c r="F41" s="31" t="s">
        <v>77</v>
      </c>
      <c r="G41" s="32" t="s">
        <v>78</v>
      </c>
      <c r="H41" s="61"/>
      <c r="I41" s="61">
        <v>0</v>
      </c>
      <c r="J41" s="61">
        <f t="shared" si="0"/>
        <v>0</v>
      </c>
      <c r="M41" s="65"/>
      <c r="N41" s="110"/>
      <c r="O41" s="110"/>
      <c r="P41" s="110"/>
      <c r="Q41" s="97"/>
    </row>
    <row r="42" spans="1:17" ht="13.5" hidden="1" thickTop="1">
      <c r="A42" s="12"/>
      <c r="B42" s="56"/>
      <c r="E42" s="13">
        <v>0</v>
      </c>
      <c r="F42" s="31" t="s">
        <v>79</v>
      </c>
      <c r="G42" s="32">
        <v>72062</v>
      </c>
      <c r="H42" s="61"/>
      <c r="I42" s="61">
        <v>0</v>
      </c>
      <c r="J42" s="61">
        <f t="shared" si="0"/>
        <v>0</v>
      </c>
      <c r="M42" s="65"/>
      <c r="N42" s="110"/>
      <c r="O42" s="110"/>
      <c r="P42" s="110"/>
      <c r="Q42" s="97"/>
    </row>
    <row r="43" spans="1:17" ht="13.5" hidden="1" thickTop="1">
      <c r="A43" s="12" t="s">
        <v>15</v>
      </c>
      <c r="B43" s="56"/>
      <c r="E43" s="13">
        <v>0</v>
      </c>
      <c r="F43" s="31" t="s">
        <v>80</v>
      </c>
      <c r="G43" s="32" t="s">
        <v>81</v>
      </c>
      <c r="H43" s="61"/>
      <c r="I43" s="61">
        <v>0</v>
      </c>
      <c r="J43" s="61">
        <f t="shared" si="0"/>
        <v>0</v>
      </c>
      <c r="M43" s="65"/>
      <c r="N43" s="110"/>
      <c r="O43" s="110"/>
      <c r="P43" s="110"/>
      <c r="Q43" s="97"/>
    </row>
    <row r="44" spans="1:17" ht="13.5" hidden="1" thickTop="1">
      <c r="A44" s="12"/>
      <c r="B44" s="56"/>
      <c r="E44" s="13">
        <v>0</v>
      </c>
      <c r="H44" s="61"/>
      <c r="I44" s="61">
        <v>0</v>
      </c>
      <c r="J44" s="61">
        <f t="shared" si="0"/>
        <v>0</v>
      </c>
      <c r="M44" s="65"/>
      <c r="N44" s="110"/>
      <c r="O44" s="110"/>
      <c r="P44" s="110"/>
      <c r="Q44" s="97"/>
    </row>
    <row r="45" spans="1:17" ht="13.5" hidden="1" thickTop="1">
      <c r="A45" s="19" t="s">
        <v>82</v>
      </c>
      <c r="B45" s="56">
        <v>73200</v>
      </c>
      <c r="C45" s="13">
        <v>50000</v>
      </c>
      <c r="E45" s="13">
        <v>53000</v>
      </c>
      <c r="H45" s="61">
        <v>41415.15</v>
      </c>
      <c r="I45" s="61">
        <v>0</v>
      </c>
      <c r="J45" s="61">
        <f t="shared" si="0"/>
        <v>41415.15</v>
      </c>
      <c r="K45" s="111">
        <f>SUM(E45)-H45-I45</f>
        <v>11584.849999999999</v>
      </c>
      <c r="L45" s="112">
        <v>31553</v>
      </c>
      <c r="M45" s="113">
        <v>59170.879999999997</v>
      </c>
      <c r="N45" s="114">
        <v>95922</v>
      </c>
      <c r="O45" s="114">
        <v>66456.649999999994</v>
      </c>
      <c r="P45" s="114">
        <v>54974.06</v>
      </c>
      <c r="Q45" s="67">
        <f>SUM(K45)/E45</f>
        <v>0.21858207547169808</v>
      </c>
    </row>
    <row r="46" spans="1:17" ht="13.5" hidden="1" thickTop="1">
      <c r="A46" s="12" t="s">
        <v>15</v>
      </c>
      <c r="B46" s="56"/>
      <c r="E46" s="13">
        <v>0</v>
      </c>
      <c r="F46" s="23" t="s">
        <v>83</v>
      </c>
      <c r="G46" s="34">
        <v>3100</v>
      </c>
      <c r="H46" s="115"/>
      <c r="I46" s="61">
        <v>0</v>
      </c>
      <c r="J46" s="61">
        <f t="shared" si="0"/>
        <v>0</v>
      </c>
      <c r="M46" s="65"/>
      <c r="N46" s="110"/>
      <c r="O46" s="110"/>
      <c r="P46" s="110"/>
      <c r="Q46" s="97"/>
    </row>
    <row r="47" spans="1:17" ht="13.5" hidden="1" thickTop="1">
      <c r="A47" s="12"/>
      <c r="B47" s="56"/>
      <c r="E47" s="13">
        <v>0</v>
      </c>
      <c r="F47" s="23" t="s">
        <v>84</v>
      </c>
      <c r="G47" s="34">
        <v>3101</v>
      </c>
      <c r="H47" s="115"/>
      <c r="I47" s="61">
        <v>0</v>
      </c>
      <c r="J47" s="61">
        <f t="shared" si="0"/>
        <v>0</v>
      </c>
      <c r="M47" s="65"/>
      <c r="N47" s="110"/>
      <c r="O47" s="110"/>
      <c r="P47" s="110"/>
      <c r="Q47" s="97"/>
    </row>
    <row r="48" spans="1:17" ht="13.5" hidden="1" thickTop="1">
      <c r="A48" s="12"/>
      <c r="B48" s="56"/>
      <c r="E48" s="13">
        <v>0</v>
      </c>
      <c r="F48" s="23" t="s">
        <v>85</v>
      </c>
      <c r="G48" s="34">
        <v>3102</v>
      </c>
      <c r="H48" s="115"/>
      <c r="I48" s="61">
        <v>0</v>
      </c>
      <c r="J48" s="61">
        <f t="shared" si="0"/>
        <v>0</v>
      </c>
      <c r="M48" s="65"/>
      <c r="N48" s="110"/>
      <c r="O48" s="110"/>
      <c r="P48" s="110"/>
      <c r="Q48" s="97"/>
    </row>
    <row r="49" spans="1:17" ht="13.5" hidden="1" thickTop="1">
      <c r="A49" s="12"/>
      <c r="B49" s="56"/>
      <c r="E49" s="13">
        <v>0</v>
      </c>
      <c r="F49" s="23"/>
      <c r="G49" s="34"/>
      <c r="H49" s="61"/>
      <c r="I49" s="61">
        <v>7983.6</v>
      </c>
      <c r="J49" s="61">
        <f t="shared" si="0"/>
        <v>7983.6</v>
      </c>
      <c r="M49" s="65"/>
      <c r="N49" s="110"/>
      <c r="O49" s="110"/>
      <c r="P49" s="110"/>
      <c r="Q49" s="97"/>
    </row>
    <row r="50" spans="1:17" ht="13.5" hidden="1" thickTop="1">
      <c r="A50" s="19" t="s">
        <v>86</v>
      </c>
      <c r="B50" s="56">
        <v>73400</v>
      </c>
      <c r="C50" s="13">
        <v>204818</v>
      </c>
      <c r="E50" s="13">
        <v>154362</v>
      </c>
      <c r="F50" s="23"/>
      <c r="G50" s="34"/>
      <c r="H50" s="115">
        <v>81457.84</v>
      </c>
      <c r="I50" s="61" t="e">
        <v>#REF!</v>
      </c>
      <c r="J50" s="61" t="e">
        <f t="shared" si="0"/>
        <v>#REF!</v>
      </c>
      <c r="K50" s="111" t="e">
        <f>SUM(E50)-H50-I50</f>
        <v>#REF!</v>
      </c>
      <c r="L50" s="112">
        <v>117249.38</v>
      </c>
      <c r="M50" s="113">
        <v>140608.14000000001</v>
      </c>
      <c r="N50" s="114">
        <v>271382</v>
      </c>
      <c r="O50" s="114">
        <v>291630.51</v>
      </c>
      <c r="P50" s="114">
        <v>376128.55</v>
      </c>
      <c r="Q50" s="67" t="e">
        <f>SUM(K50)/E50</f>
        <v>#REF!</v>
      </c>
    </row>
    <row r="51" spans="1:17" ht="13.5" hidden="1" thickTop="1">
      <c r="A51" s="12"/>
      <c r="B51" s="56"/>
      <c r="E51" s="13">
        <v>0</v>
      </c>
      <c r="F51" s="23" t="s">
        <v>87</v>
      </c>
      <c r="G51" s="34">
        <v>73464</v>
      </c>
      <c r="H51" s="115"/>
      <c r="I51" s="61" t="e">
        <v>#REF!</v>
      </c>
      <c r="J51" s="61"/>
      <c r="M51" s="65"/>
      <c r="N51" s="110"/>
      <c r="O51" s="110"/>
      <c r="P51" s="110"/>
      <c r="Q51" s="97"/>
    </row>
    <row r="52" spans="1:17" ht="13.5" hidden="1" thickTop="1">
      <c r="A52" s="12"/>
      <c r="B52" s="56"/>
      <c r="E52" s="13">
        <v>0</v>
      </c>
      <c r="F52" s="23" t="s">
        <v>88</v>
      </c>
      <c r="G52" s="34">
        <v>3200</v>
      </c>
      <c r="H52" s="115"/>
      <c r="I52" s="61">
        <v>0</v>
      </c>
      <c r="J52" s="61"/>
      <c r="M52" s="65"/>
      <c r="N52" s="110"/>
      <c r="O52" s="110"/>
      <c r="P52" s="110"/>
      <c r="Q52" s="97"/>
    </row>
    <row r="53" spans="1:17" ht="13.5" hidden="1" thickTop="1">
      <c r="A53" s="12"/>
      <c r="B53" s="56"/>
      <c r="E53" s="13">
        <v>0</v>
      </c>
      <c r="F53" s="23" t="s">
        <v>89</v>
      </c>
      <c r="G53" s="34">
        <v>73481</v>
      </c>
      <c r="H53" s="115"/>
      <c r="I53" s="61">
        <v>11465.11</v>
      </c>
      <c r="J53" s="61"/>
      <c r="M53" s="65"/>
      <c r="N53" s="110"/>
      <c r="O53" s="110"/>
      <c r="P53" s="110"/>
      <c r="Q53" s="97"/>
    </row>
    <row r="54" spans="1:17" ht="13.5" hidden="1" thickTop="1">
      <c r="A54" s="12"/>
      <c r="B54" s="56"/>
      <c r="E54" s="13">
        <v>0</v>
      </c>
      <c r="F54" s="23" t="s">
        <v>90</v>
      </c>
      <c r="G54" s="34" t="s">
        <v>91</v>
      </c>
      <c r="H54" s="115"/>
      <c r="I54" s="61" t="e">
        <v>#REF!</v>
      </c>
      <c r="J54" s="61"/>
      <c r="M54" s="65"/>
      <c r="N54" s="110"/>
      <c r="O54" s="110"/>
      <c r="P54" s="110"/>
      <c r="Q54" s="97"/>
    </row>
    <row r="55" spans="1:17" ht="13.5" hidden="1" thickTop="1">
      <c r="A55" s="12"/>
      <c r="B55" s="56"/>
      <c r="E55" s="13">
        <v>0</v>
      </c>
      <c r="F55" s="23" t="s">
        <v>92</v>
      </c>
      <c r="G55" s="34">
        <v>73465</v>
      </c>
      <c r="H55" s="115"/>
      <c r="I55" s="61">
        <v>0</v>
      </c>
      <c r="J55" s="61"/>
      <c r="M55" s="65"/>
      <c r="N55" s="110"/>
      <c r="O55" s="110"/>
      <c r="P55" s="110"/>
      <c r="Q55" s="97"/>
    </row>
    <row r="56" spans="1:17" ht="13.5" hidden="1" thickTop="1">
      <c r="A56" s="12"/>
      <c r="B56" s="56"/>
      <c r="E56" s="13">
        <v>0</v>
      </c>
      <c r="F56" s="23" t="s">
        <v>93</v>
      </c>
      <c r="G56" s="34" t="s">
        <v>94</v>
      </c>
      <c r="H56" s="115"/>
      <c r="I56" s="61">
        <v>0</v>
      </c>
      <c r="J56" s="61"/>
      <c r="M56" s="65"/>
      <c r="N56" s="110"/>
      <c r="O56" s="110"/>
      <c r="P56" s="110"/>
      <c r="Q56" s="97"/>
    </row>
    <row r="57" spans="1:17" ht="13.5" hidden="1" thickTop="1">
      <c r="A57" s="12"/>
      <c r="B57" s="56"/>
      <c r="E57" s="13">
        <v>0</v>
      </c>
      <c r="F57" s="23" t="s">
        <v>95</v>
      </c>
      <c r="G57" s="34">
        <v>73431</v>
      </c>
      <c r="H57" s="115"/>
      <c r="I57" s="61">
        <v>0</v>
      </c>
      <c r="J57" s="61"/>
      <c r="M57" s="65"/>
      <c r="N57" s="110"/>
      <c r="O57" s="110"/>
      <c r="P57" s="110"/>
      <c r="Q57" s="97"/>
    </row>
    <row r="58" spans="1:17" ht="13.5" hidden="1" thickTop="1">
      <c r="A58" s="12"/>
      <c r="B58" s="56"/>
      <c r="E58" s="13">
        <v>0</v>
      </c>
      <c r="H58" s="61"/>
      <c r="I58" s="61">
        <v>0</v>
      </c>
      <c r="J58" s="61"/>
      <c r="M58" s="65"/>
      <c r="N58" s="110"/>
      <c r="O58" s="110"/>
      <c r="P58" s="110"/>
      <c r="Q58" s="97"/>
    </row>
    <row r="59" spans="1:17" ht="13.5" hidden="1" thickTop="1">
      <c r="A59" s="19" t="s">
        <v>96</v>
      </c>
      <c r="B59" s="56">
        <v>73600</v>
      </c>
      <c r="C59" s="13">
        <v>73154</v>
      </c>
      <c r="E59" s="13">
        <v>82654</v>
      </c>
      <c r="H59" s="61">
        <v>53026.2</v>
      </c>
      <c r="I59" s="61" t="e">
        <v>#REF!</v>
      </c>
      <c r="J59" s="61" t="e">
        <f>SUM(H59:I59)</f>
        <v>#REF!</v>
      </c>
      <c r="K59" s="111" t="e">
        <f>SUM(E59)-H59-I59</f>
        <v>#REF!</v>
      </c>
      <c r="L59" s="112">
        <v>54616.82</v>
      </c>
      <c r="M59" s="113">
        <v>64198.11</v>
      </c>
      <c r="N59" s="114">
        <v>94232</v>
      </c>
      <c r="O59" s="114">
        <v>83589.94</v>
      </c>
      <c r="P59" s="114">
        <v>60020.43</v>
      </c>
      <c r="Q59" s="67" t="e">
        <f>SUM(K59)/E59</f>
        <v>#REF!</v>
      </c>
    </row>
    <row r="60" spans="1:17" ht="13.5" hidden="1" thickTop="1">
      <c r="A60" s="12"/>
      <c r="B60" s="26"/>
      <c r="F60" s="23" t="s">
        <v>97</v>
      </c>
      <c r="G60" s="32" t="s">
        <v>98</v>
      </c>
      <c r="H60" s="25">
        <v>2261</v>
      </c>
      <c r="I60" s="25">
        <v>0</v>
      </c>
      <c r="J60" s="25"/>
      <c r="M60" s="65"/>
      <c r="N60" s="110"/>
      <c r="O60" s="110"/>
      <c r="P60" s="110"/>
      <c r="Q60" s="97"/>
    </row>
    <row r="61" spans="1:17" ht="13.5" hidden="1" thickTop="1">
      <c r="A61" s="12"/>
      <c r="B61" s="26"/>
      <c r="F61" s="23" t="s">
        <v>99</v>
      </c>
      <c r="G61" s="32" t="s">
        <v>100</v>
      </c>
      <c r="H61" s="25">
        <f>1249.15+18580+6548.25+10397</f>
        <v>36774.400000000001</v>
      </c>
      <c r="I61" s="25">
        <v>410</v>
      </c>
      <c r="J61" s="25"/>
      <c r="M61" s="65"/>
      <c r="N61" s="110"/>
      <c r="O61" s="110"/>
      <c r="P61" s="110"/>
      <c r="Q61" s="97"/>
    </row>
    <row r="62" spans="1:17" ht="13.5" hidden="1" thickTop="1">
      <c r="A62" s="12"/>
      <c r="B62" s="26"/>
      <c r="F62" s="23" t="s">
        <v>101</v>
      </c>
      <c r="G62" s="32" t="s">
        <v>102</v>
      </c>
      <c r="H62" s="25">
        <f>1593+8108</f>
        <v>9701</v>
      </c>
      <c r="I62" s="25">
        <v>0</v>
      </c>
      <c r="J62" s="25"/>
      <c r="M62" s="65"/>
      <c r="N62" s="110"/>
      <c r="O62" s="110"/>
      <c r="P62" s="110"/>
      <c r="Q62" s="97"/>
    </row>
    <row r="63" spans="1:17" ht="13.5" hidden="1" thickTop="1">
      <c r="A63" s="12"/>
      <c r="B63" s="26"/>
      <c r="F63" s="23" t="s">
        <v>65</v>
      </c>
      <c r="G63" s="32" t="s">
        <v>103</v>
      </c>
      <c r="H63" s="25">
        <v>8916.7199999999993</v>
      </c>
      <c r="I63" s="25">
        <v>0</v>
      </c>
      <c r="J63" s="25"/>
      <c r="M63" s="65"/>
      <c r="N63" s="110"/>
      <c r="O63" s="110"/>
      <c r="P63" s="110"/>
      <c r="Q63" s="97"/>
    </row>
    <row r="64" spans="1:17" ht="13.5" hidden="1" thickTop="1">
      <c r="A64" s="12"/>
      <c r="B64" s="26"/>
      <c r="H64" s="25">
        <f>SUM(H60:H63)</f>
        <v>57653.120000000003</v>
      </c>
      <c r="I64" s="25">
        <f>SUM(I60:I63)</f>
        <v>410</v>
      </c>
      <c r="J64" s="25"/>
      <c r="M64" s="65"/>
      <c r="N64" s="110"/>
      <c r="O64" s="110"/>
      <c r="P64" s="110"/>
      <c r="Q64" s="97"/>
    </row>
    <row r="65" spans="1:55" s="108" customFormat="1" ht="13.5" hidden="1" thickTop="1">
      <c r="A65" s="119" t="s">
        <v>104</v>
      </c>
      <c r="B65" s="101"/>
      <c r="C65" s="102">
        <f>SUM(C22:C59)</f>
        <v>1235561</v>
      </c>
      <c r="D65" s="102"/>
      <c r="E65" s="102">
        <f>SUM(E22:E59)</f>
        <v>1342576</v>
      </c>
      <c r="F65" s="102">
        <f>SUM(F22:F59)</f>
        <v>0</v>
      </c>
      <c r="G65" s="102">
        <v>0</v>
      </c>
      <c r="H65" s="102">
        <f>SUM(H22:H59)</f>
        <v>743858.44</v>
      </c>
      <c r="I65" s="102" t="e">
        <f>SUM(I22:I59)</f>
        <v>#REF!</v>
      </c>
      <c r="J65" s="102" t="e">
        <f>#REF!+#REF!</f>
        <v>#REF!</v>
      </c>
      <c r="K65" s="102" t="e">
        <f t="shared" ref="K65:P65" si="1">SUM(K22:K59)</f>
        <v>#REF!</v>
      </c>
      <c r="L65" s="120">
        <f t="shared" si="1"/>
        <v>788120.54999999993</v>
      </c>
      <c r="M65" s="120">
        <f t="shared" si="1"/>
        <v>901347.7699999999</v>
      </c>
      <c r="N65" s="120">
        <f t="shared" si="1"/>
        <v>1458002</v>
      </c>
      <c r="O65" s="120">
        <f t="shared" si="1"/>
        <v>1390977.5499999998</v>
      </c>
      <c r="P65" s="120">
        <f t="shared" si="1"/>
        <v>1358728.46</v>
      </c>
      <c r="Q65" s="107" t="e">
        <f>SUM(K65)/E65</f>
        <v>#REF!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s="108" customFormat="1" ht="13.5" hidden="1" thickTop="1">
      <c r="A66" s="121"/>
      <c r="B66" s="12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23"/>
      <c r="N66" s="124"/>
      <c r="O66" s="124"/>
      <c r="P66" s="124"/>
      <c r="Q66" s="107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1:55" s="108" customFormat="1" ht="13.5" thickTop="1">
      <c r="A67" s="134" t="s">
        <v>116</v>
      </c>
      <c r="B67" s="135"/>
      <c r="C67" s="136"/>
      <c r="D67" s="136">
        <f>E67-(T68+T69)</f>
        <v>7495906.2699999996</v>
      </c>
      <c r="E67" s="136">
        <f>SUM(E65+E20)</f>
        <v>7870423.2699999996</v>
      </c>
      <c r="F67" s="136"/>
      <c r="G67" s="136"/>
      <c r="H67" s="136"/>
      <c r="I67" s="136"/>
      <c r="J67" s="136" t="e">
        <f t="shared" ref="J67:P67" si="2">SUM(J65+J20)</f>
        <v>#REF!</v>
      </c>
      <c r="K67" s="136" t="e">
        <f t="shared" si="2"/>
        <v>#REF!</v>
      </c>
      <c r="L67" s="128">
        <f t="shared" si="2"/>
        <v>7590588.9299999988</v>
      </c>
      <c r="M67" s="128">
        <f t="shared" si="2"/>
        <v>7945652.3799999999</v>
      </c>
      <c r="N67" s="128">
        <f t="shared" si="2"/>
        <v>7923649</v>
      </c>
      <c r="O67" s="128">
        <f t="shared" si="2"/>
        <v>7186893.9399999995</v>
      </c>
      <c r="P67" s="128">
        <f t="shared" si="2"/>
        <v>6220514.3600000003</v>
      </c>
      <c r="Q67" s="107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s="10" customFormat="1" ht="15">
      <c r="A68" s="121"/>
      <c r="B68" s="12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23"/>
      <c r="N68" s="124"/>
      <c r="O68" s="124"/>
      <c r="P68" s="124"/>
      <c r="Q68" s="139"/>
      <c r="S68" t="s">
        <v>9</v>
      </c>
      <c r="T68" s="1">
        <v>106002</v>
      </c>
    </row>
    <row r="69" spans="1:55" s="108" customFormat="1" ht="15">
      <c r="A69" s="134" t="s">
        <v>117</v>
      </c>
      <c r="B69" s="135"/>
      <c r="C69" s="136"/>
      <c r="D69" s="136">
        <f>E69-T70</f>
        <v>1918641</v>
      </c>
      <c r="E69" s="136">
        <f>4000+2393176+700+425</f>
        <v>2398301</v>
      </c>
      <c r="F69" s="136"/>
      <c r="G69" s="136"/>
      <c r="H69" s="136"/>
      <c r="I69" s="136"/>
      <c r="J69" s="136">
        <v>1430712.61</v>
      </c>
      <c r="K69" s="136"/>
      <c r="L69" s="136">
        <v>2662674.2000000002</v>
      </c>
      <c r="M69" s="137">
        <v>1942022.52</v>
      </c>
      <c r="N69" s="128">
        <v>3523453</v>
      </c>
      <c r="O69" s="128">
        <v>3076636.28</v>
      </c>
      <c r="P69" s="128">
        <v>2755311.52</v>
      </c>
      <c r="Q69" s="107"/>
      <c r="R69" s="10"/>
      <c r="S69" t="s">
        <v>10</v>
      </c>
      <c r="T69" s="1">
        <v>268515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1:55" s="10" customFormat="1" ht="15">
      <c r="A70" s="138"/>
      <c r="B70" s="12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3"/>
      <c r="N70" s="124"/>
      <c r="O70" s="124"/>
      <c r="P70" s="124"/>
      <c r="Q70" s="139"/>
      <c r="S70" t="s">
        <v>11</v>
      </c>
      <c r="T70" s="1">
        <v>479660</v>
      </c>
    </row>
    <row r="71" spans="1:55" s="108" customFormat="1" ht="12" customHeight="1">
      <c r="A71" s="134" t="s">
        <v>118</v>
      </c>
      <c r="B71" s="135"/>
      <c r="C71" s="136"/>
      <c r="D71" s="136">
        <f>E71-T72</f>
        <v>2135743</v>
      </c>
      <c r="E71" s="136">
        <v>2669679</v>
      </c>
      <c r="F71" s="136"/>
      <c r="G71" s="136"/>
      <c r="H71" s="136"/>
      <c r="I71" s="136"/>
      <c r="J71" s="136">
        <v>1662648.05</v>
      </c>
      <c r="K71" s="136"/>
      <c r="L71" s="136">
        <v>2296633.06</v>
      </c>
      <c r="M71" s="137">
        <v>1989683.6</v>
      </c>
      <c r="N71" s="128">
        <v>2075539</v>
      </c>
      <c r="O71" s="128">
        <v>1763679.48</v>
      </c>
      <c r="P71" s="128">
        <v>1451069.11</v>
      </c>
      <c r="Q71" s="107"/>
      <c r="R71" s="10"/>
      <c r="S71" t="s">
        <v>12</v>
      </c>
      <c r="T71" s="1">
        <f>SUM(T68:T70)</f>
        <v>854177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</row>
    <row r="72" spans="1:55" s="10" customFormat="1" ht="15">
      <c r="A72" s="121"/>
      <c r="B72" s="122"/>
      <c r="C72" s="13"/>
      <c r="D72" s="13"/>
      <c r="E72" s="13"/>
      <c r="F72" s="13"/>
      <c r="G72" s="13"/>
      <c r="H72" s="13"/>
      <c r="I72" s="13"/>
      <c r="J72" s="13" t="s">
        <v>15</v>
      </c>
      <c r="K72" s="13"/>
      <c r="L72" s="13"/>
      <c r="M72" s="123"/>
      <c r="N72" s="124"/>
      <c r="O72" s="124"/>
      <c r="P72" s="124"/>
      <c r="Q72" s="139"/>
      <c r="S72" t="s">
        <v>2</v>
      </c>
      <c r="T72" s="1">
        <v>533936</v>
      </c>
    </row>
    <row r="73" spans="1:55" s="108" customFormat="1" ht="15">
      <c r="A73" s="134" t="s">
        <v>119</v>
      </c>
      <c r="B73" s="135"/>
      <c r="C73" s="136"/>
      <c r="D73" s="136">
        <v>85568</v>
      </c>
      <c r="E73" s="136">
        <v>85568</v>
      </c>
      <c r="F73" s="136"/>
      <c r="G73" s="136"/>
      <c r="H73" s="136"/>
      <c r="I73" s="136"/>
      <c r="J73" s="136">
        <v>75593.009999999995</v>
      </c>
      <c r="K73" s="136"/>
      <c r="L73" s="136">
        <v>85567.01</v>
      </c>
      <c r="M73" s="137">
        <v>85568</v>
      </c>
      <c r="N73" s="128">
        <v>85568</v>
      </c>
      <c r="O73" s="128">
        <v>85594.4</v>
      </c>
      <c r="P73" s="128">
        <v>70391</v>
      </c>
      <c r="Q73" s="107"/>
      <c r="R73" s="10"/>
      <c r="S73" t="s">
        <v>8</v>
      </c>
      <c r="T73" s="1">
        <f>SUM(T71:T72)</f>
        <v>1388113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</row>
    <row r="74" spans="1:55" s="10" customFormat="1">
      <c r="A74" s="138"/>
      <c r="B74" s="122"/>
      <c r="C74" s="13"/>
      <c r="D74" s="13" t="s">
        <v>15</v>
      </c>
      <c r="E74" s="13" t="s">
        <v>15</v>
      </c>
      <c r="F74" s="13"/>
      <c r="G74" s="13"/>
      <c r="H74" s="13"/>
      <c r="I74" s="13"/>
      <c r="J74" s="13"/>
      <c r="K74" s="13"/>
      <c r="L74" s="13"/>
      <c r="M74" s="123"/>
      <c r="N74" s="124"/>
      <c r="O74" s="124"/>
      <c r="P74" s="124"/>
      <c r="Q74" s="139"/>
    </row>
    <row r="75" spans="1:55" s="108" customFormat="1">
      <c r="A75" s="134" t="s">
        <v>120</v>
      </c>
      <c r="B75" s="135"/>
      <c r="C75" s="136"/>
      <c r="D75" s="136">
        <v>1500</v>
      </c>
      <c r="E75" s="136">
        <v>1500</v>
      </c>
      <c r="F75" s="136"/>
      <c r="G75" s="136"/>
      <c r="H75" s="136"/>
      <c r="I75" s="136"/>
      <c r="J75" s="136">
        <v>403.38</v>
      </c>
      <c r="K75" s="136"/>
      <c r="L75" s="136">
        <v>764.96</v>
      </c>
      <c r="M75" s="137">
        <v>2301.7199999999998</v>
      </c>
      <c r="N75" s="128">
        <v>1501</v>
      </c>
      <c r="O75" s="128">
        <v>2113.31</v>
      </c>
      <c r="P75" s="128">
        <v>600</v>
      </c>
      <c r="Q75" s="107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</row>
    <row r="76" spans="1:55">
      <c r="A76" s="12"/>
      <c r="B76" s="26"/>
      <c r="H76" s="25"/>
      <c r="I76" s="25"/>
      <c r="J76" s="25"/>
      <c r="M76" s="65"/>
      <c r="N76" s="110"/>
      <c r="O76" s="110"/>
      <c r="P76" s="110"/>
      <c r="Q76" s="97"/>
    </row>
    <row r="77" spans="1:55">
      <c r="A77" s="140" t="s">
        <v>8</v>
      </c>
      <c r="B77" s="141"/>
      <c r="C77" s="142">
        <f>SUM(C65+C20)</f>
        <v>6434108</v>
      </c>
      <c r="D77" s="142">
        <f>SUM(D67+D69+D71+D73+D75)</f>
        <v>11637358.27</v>
      </c>
      <c r="E77" s="142">
        <f>SUM(E67+E69+E71+E73+E75)</f>
        <v>13025471.27</v>
      </c>
      <c r="F77" s="142">
        <f>SUM(F65+F20)</f>
        <v>0</v>
      </c>
      <c r="G77" s="142">
        <f>SUM(G65+G20)</f>
        <v>0</v>
      </c>
      <c r="H77" s="142">
        <f>SUM(H65+H20)</f>
        <v>4258492.9700000007</v>
      </c>
      <c r="I77" s="142" t="e">
        <f>SUM(I65+I20)</f>
        <v>#REF!</v>
      </c>
      <c r="J77" s="142" t="e">
        <f>SUM(J67+J69+J71+J73+J75)</f>
        <v>#REF!</v>
      </c>
      <c r="K77" s="142" t="e">
        <f>SUM(K65+K20)+K69+K71</f>
        <v>#REF!</v>
      </c>
      <c r="L77" s="142">
        <f>SUM(L67+L69+L71+L73+L75)</f>
        <v>12636228.16</v>
      </c>
      <c r="M77" s="142">
        <f>SUM(M67+M69+M71+M73+M75)</f>
        <v>11965228.220000001</v>
      </c>
      <c r="N77" s="142">
        <f>SUM(N67+N69+N71+N73+N75)</f>
        <v>13609710</v>
      </c>
      <c r="O77" s="142">
        <f>SUM(O67+O69+O71+O73+O75)</f>
        <v>12114917.41</v>
      </c>
      <c r="P77" s="142">
        <f>SUM(P67+P69+P71+P73+P75)</f>
        <v>10497885.99</v>
      </c>
      <c r="Q77" s="143" t="e">
        <f>SUM(K77)/E77</f>
        <v>#REF!</v>
      </c>
    </row>
    <row r="78" spans="1:55">
      <c r="J78" s="144"/>
    </row>
    <row r="79" spans="1:55" hidden="1"/>
    <row r="80" spans="1:55" ht="14.25" hidden="1">
      <c r="B80" s="192" t="s">
        <v>110</v>
      </c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</row>
    <row r="81" spans="1:55" hidden="1">
      <c r="A81" s="185"/>
      <c r="B81" s="147"/>
      <c r="F81" s="148"/>
      <c r="G81" s="149"/>
      <c r="H81" s="150"/>
      <c r="I81" s="150"/>
      <c r="J81" s="150"/>
      <c r="K81" s="21"/>
      <c r="L81" s="21"/>
      <c r="M81" s="21"/>
      <c r="N81" s="21"/>
      <c r="O81" s="21"/>
      <c r="P81" s="21"/>
      <c r="Q81" s="151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</row>
    <row r="82" spans="1:55" hidden="1">
      <c r="A82" s="153"/>
      <c r="B82" s="154" t="s">
        <v>15</v>
      </c>
      <c r="C82" s="154"/>
      <c r="D82" s="154"/>
      <c r="E82" s="194" t="s">
        <v>5</v>
      </c>
      <c r="F82" s="194"/>
      <c r="G82" s="194"/>
      <c r="H82" s="194"/>
      <c r="I82" s="194"/>
      <c r="J82" s="194"/>
      <c r="K82" s="155"/>
      <c r="L82" s="155" t="s">
        <v>18</v>
      </c>
      <c r="M82" s="155" t="s">
        <v>19</v>
      </c>
      <c r="N82" s="155" t="s">
        <v>20</v>
      </c>
      <c r="O82" s="155" t="s">
        <v>113</v>
      </c>
      <c r="P82" s="155" t="s">
        <v>114</v>
      </c>
      <c r="Q82" s="156"/>
      <c r="R82" s="157" t="s">
        <v>121</v>
      </c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</row>
    <row r="83" spans="1:55" hidden="1">
      <c r="A83" s="159"/>
      <c r="B83" s="160"/>
      <c r="C83" s="160"/>
      <c r="D83" s="160"/>
      <c r="E83" s="161"/>
      <c r="F83" s="161"/>
      <c r="G83" s="161"/>
      <c r="H83" s="161"/>
      <c r="I83" s="161"/>
      <c r="J83" s="161"/>
      <c r="K83" s="162"/>
      <c r="L83" s="162"/>
      <c r="M83" s="162"/>
      <c r="N83" s="162"/>
      <c r="O83" s="162"/>
      <c r="P83" s="162"/>
      <c r="Q83" s="163"/>
      <c r="R83" s="164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</row>
    <row r="84" spans="1:55" ht="15" hidden="1">
      <c r="A84" s="165" t="s">
        <v>122</v>
      </c>
      <c r="B84" s="166"/>
      <c r="C84" s="166"/>
      <c r="D84" s="166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</row>
    <row r="85" spans="1:55" hidden="1">
      <c r="A85" s="168" t="s">
        <v>123</v>
      </c>
      <c r="B85" s="166"/>
      <c r="C85" s="166"/>
      <c r="D85" s="166"/>
      <c r="E85" s="167"/>
      <c r="F85" s="167"/>
      <c r="G85" s="167"/>
      <c r="H85" s="167"/>
      <c r="I85" s="167"/>
      <c r="J85" s="167"/>
      <c r="K85" s="167"/>
      <c r="L85" s="167"/>
      <c r="M85" s="167"/>
      <c r="N85" s="169">
        <v>207844</v>
      </c>
      <c r="O85" s="167"/>
      <c r="P85" s="170">
        <v>207844</v>
      </c>
      <c r="Q85" s="171"/>
      <c r="R85" s="171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</row>
    <row r="86" spans="1:55" hidden="1">
      <c r="A86" s="168" t="s">
        <v>124</v>
      </c>
      <c r="B86" s="166"/>
      <c r="C86" s="166"/>
      <c r="D86" s="166"/>
      <c r="E86" s="167">
        <v>311574</v>
      </c>
      <c r="F86" s="167"/>
      <c r="G86" s="167"/>
      <c r="H86" s="167"/>
      <c r="I86" s="167"/>
      <c r="J86" s="167"/>
      <c r="K86" s="167"/>
      <c r="L86" s="167"/>
      <c r="M86" s="172">
        <v>157879</v>
      </c>
      <c r="N86" s="173">
        <v>194435</v>
      </c>
      <c r="O86" s="170">
        <v>171556</v>
      </c>
      <c r="P86" s="170">
        <v>372378</v>
      </c>
      <c r="Q86" s="167"/>
      <c r="R86" s="172">
        <v>327437</v>
      </c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</row>
    <row r="87" spans="1:55" ht="15" hidden="1">
      <c r="A87" s="174" t="s">
        <v>125</v>
      </c>
      <c r="B87" s="166"/>
      <c r="C87" s="166"/>
      <c r="D87" s="166"/>
      <c r="E87" s="167"/>
      <c r="F87" s="167"/>
      <c r="G87" s="167"/>
      <c r="H87" s="167"/>
      <c r="I87" s="167"/>
      <c r="J87" s="167"/>
      <c r="K87" s="167"/>
      <c r="L87" s="167"/>
      <c r="M87" s="167" t="s">
        <v>15</v>
      </c>
      <c r="N87" s="175">
        <v>637</v>
      </c>
      <c r="O87" s="170">
        <v>109757</v>
      </c>
      <c r="P87" s="167"/>
      <c r="Q87" s="167"/>
      <c r="R87" s="167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</row>
    <row r="88" spans="1:55" hidden="1">
      <c r="A88" s="168" t="s">
        <v>126</v>
      </c>
      <c r="B88" s="166"/>
      <c r="C88" s="166"/>
      <c r="D88" s="166"/>
      <c r="E88" s="167"/>
      <c r="F88" s="167"/>
      <c r="G88" s="167"/>
      <c r="H88" s="167"/>
      <c r="I88" s="167"/>
      <c r="J88" s="167"/>
      <c r="K88" s="167"/>
      <c r="L88" s="167"/>
      <c r="M88" s="167"/>
      <c r="N88" s="175"/>
      <c r="O88" s="167"/>
      <c r="P88" s="169">
        <v>150748</v>
      </c>
      <c r="Q88" s="167"/>
      <c r="R88" s="167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</row>
    <row r="89" spans="1:55" hidden="1">
      <c r="A89" s="176" t="s">
        <v>127</v>
      </c>
      <c r="B89" s="147"/>
      <c r="C89" s="166"/>
      <c r="D89" s="166"/>
      <c r="E89" s="167"/>
      <c r="F89" s="167"/>
      <c r="G89" s="167"/>
      <c r="H89" s="167"/>
      <c r="I89" s="167"/>
      <c r="J89" s="167"/>
      <c r="K89" s="167"/>
      <c r="L89" s="167"/>
      <c r="M89" s="167"/>
      <c r="N89" s="175">
        <v>180401.6</v>
      </c>
      <c r="O89" s="167"/>
      <c r="P89" s="167"/>
      <c r="Q89" s="171"/>
      <c r="R89" s="167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</row>
    <row r="90" spans="1:55" hidden="1">
      <c r="A90" s="168" t="s">
        <v>128</v>
      </c>
      <c r="B90" s="166"/>
      <c r="C90" s="166"/>
      <c r="D90" s="166"/>
      <c r="E90" s="175"/>
      <c r="F90" s="167"/>
      <c r="G90" s="167"/>
      <c r="H90" s="167"/>
      <c r="I90" s="167"/>
      <c r="J90" s="167"/>
      <c r="K90" s="167"/>
      <c r="L90" s="175">
        <v>-86000</v>
      </c>
      <c r="M90" s="167">
        <v>-199191</v>
      </c>
      <c r="N90" s="167"/>
      <c r="O90" s="167"/>
      <c r="P90" s="167"/>
      <c r="Q90" s="167"/>
      <c r="R90" s="167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</row>
    <row r="91" spans="1:55" hidden="1">
      <c r="A91" s="168" t="s">
        <v>129</v>
      </c>
      <c r="B91" s="166"/>
      <c r="C91" s="166"/>
      <c r="D91" s="166"/>
      <c r="E91" s="175"/>
      <c r="F91" s="167"/>
      <c r="G91" s="167"/>
      <c r="H91" s="167"/>
      <c r="I91" s="167"/>
      <c r="J91" s="167"/>
      <c r="K91" s="167"/>
      <c r="L91" s="175">
        <v>-612196</v>
      </c>
      <c r="M91" s="167"/>
      <c r="N91" s="167"/>
      <c r="O91" s="167"/>
      <c r="P91" s="167"/>
      <c r="Q91" s="167"/>
      <c r="R91" s="167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</row>
    <row r="92" spans="1:55" hidden="1">
      <c r="A92" s="168" t="s">
        <v>130</v>
      </c>
      <c r="B92" s="166"/>
      <c r="C92" s="166"/>
      <c r="D92" s="166"/>
      <c r="E92" s="175"/>
      <c r="F92" s="167"/>
      <c r="G92" s="167"/>
      <c r="H92" s="167"/>
      <c r="I92" s="167"/>
      <c r="J92" s="167"/>
      <c r="K92" s="167"/>
      <c r="L92" s="177">
        <v>-561027</v>
      </c>
      <c r="M92" s="167"/>
      <c r="N92" s="167"/>
      <c r="O92" s="167"/>
      <c r="P92" s="167"/>
      <c r="Q92" s="167"/>
      <c r="R92" s="167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</row>
    <row r="93" spans="1:55" hidden="1">
      <c r="A93" s="168" t="s">
        <v>131</v>
      </c>
      <c r="B93" s="166"/>
      <c r="C93" s="166"/>
      <c r="D93" s="166"/>
      <c r="E93" s="175"/>
      <c r="F93" s="167"/>
      <c r="G93" s="167"/>
      <c r="H93" s="167"/>
      <c r="I93" s="167"/>
      <c r="J93" s="167"/>
      <c r="K93" s="167"/>
      <c r="L93" s="177">
        <v>145894</v>
      </c>
      <c r="M93" s="167"/>
      <c r="N93" s="167"/>
      <c r="O93" s="167"/>
      <c r="P93" s="167"/>
      <c r="Q93" s="167"/>
      <c r="R93" s="167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</row>
    <row r="94" spans="1:55" hidden="1">
      <c r="A94" s="168" t="s">
        <v>132</v>
      </c>
      <c r="B94" s="166"/>
      <c r="C94" s="166"/>
      <c r="D94" s="166"/>
      <c r="E94" s="175"/>
      <c r="F94" s="167"/>
      <c r="G94" s="167"/>
      <c r="H94" s="167"/>
      <c r="I94" s="167"/>
      <c r="J94" s="167"/>
      <c r="K94" s="167"/>
      <c r="L94" s="177">
        <v>20000</v>
      </c>
      <c r="M94" s="167"/>
      <c r="N94" s="167"/>
      <c r="O94" s="167"/>
      <c r="P94" s="167"/>
      <c r="Q94" s="167"/>
      <c r="R94" s="167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</row>
    <row r="95" spans="1:55" hidden="1">
      <c r="A95" s="168" t="s">
        <v>133</v>
      </c>
      <c r="B95" s="166"/>
      <c r="C95" s="166"/>
      <c r="D95" s="166"/>
      <c r="E95" s="175">
        <v>-50000</v>
      </c>
      <c r="F95" s="167"/>
      <c r="G95" s="167"/>
      <c r="H95" s="167"/>
      <c r="I95" s="167"/>
      <c r="J95" s="167"/>
      <c r="K95" s="167"/>
      <c r="L95" s="175"/>
      <c r="M95" s="167"/>
      <c r="N95" s="167"/>
      <c r="O95" s="167"/>
      <c r="P95" s="167"/>
      <c r="Q95" s="167"/>
      <c r="R95" s="167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</row>
    <row r="96" spans="1:55" hidden="1">
      <c r="A96" s="178" t="s">
        <v>134</v>
      </c>
      <c r="B96" s="166"/>
      <c r="C96" s="166"/>
      <c r="D96" s="166"/>
      <c r="E96" s="175">
        <v>-92437</v>
      </c>
      <c r="F96" s="167"/>
      <c r="G96" s="167"/>
      <c r="H96" s="167"/>
      <c r="I96" s="167"/>
      <c r="J96" s="167"/>
      <c r="K96" s="167"/>
      <c r="L96" s="175"/>
      <c r="M96" s="167"/>
      <c r="N96" s="167"/>
      <c r="O96" s="167"/>
      <c r="P96" s="167"/>
      <c r="Q96" s="167"/>
      <c r="R96" s="167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</row>
    <row r="97" spans="1:55" hidden="1">
      <c r="A97" s="178" t="s">
        <v>135</v>
      </c>
      <c r="B97" s="166"/>
      <c r="C97" s="166"/>
      <c r="D97" s="166"/>
      <c r="E97" s="175">
        <v>201000</v>
      </c>
      <c r="F97" s="167"/>
      <c r="G97" s="167"/>
      <c r="H97" s="167"/>
      <c r="I97" s="167"/>
      <c r="J97" s="167"/>
      <c r="K97" s="167"/>
      <c r="L97" s="175"/>
      <c r="M97" s="167"/>
      <c r="N97" s="167"/>
      <c r="O97" s="167"/>
      <c r="P97" s="167"/>
      <c r="Q97" s="167"/>
      <c r="R97" s="167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</row>
    <row r="98" spans="1:55" hidden="1">
      <c r="A98" s="178"/>
      <c r="B98" s="166"/>
      <c r="C98" s="166"/>
      <c r="D98" s="166"/>
      <c r="E98" s="175"/>
      <c r="F98" s="167"/>
      <c r="G98" s="167"/>
      <c r="H98" s="167"/>
      <c r="I98" s="167"/>
      <c r="J98" s="167"/>
      <c r="K98" s="167"/>
      <c r="L98" s="175"/>
      <c r="M98" s="167"/>
      <c r="N98" s="167"/>
      <c r="O98" s="167"/>
      <c r="P98" s="167"/>
      <c r="Q98" s="167"/>
      <c r="R98" s="167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</row>
    <row r="99" spans="1:55" hidden="1">
      <c r="A99" s="168" t="s">
        <v>136</v>
      </c>
      <c r="B99" s="166"/>
      <c r="C99" s="166"/>
      <c r="D99" s="166"/>
      <c r="E99" s="175"/>
      <c r="F99" s="167"/>
      <c r="G99" s="167"/>
      <c r="H99" s="167"/>
      <c r="I99" s="167"/>
      <c r="J99" s="167"/>
      <c r="K99" s="167"/>
      <c r="L99" s="177">
        <v>75000</v>
      </c>
      <c r="M99" s="167"/>
      <c r="N99" s="167"/>
      <c r="O99" s="167"/>
      <c r="P99" s="167"/>
      <c r="Q99" s="167"/>
      <c r="R99" s="167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</row>
    <row r="100" spans="1:55" hidden="1">
      <c r="A100" s="168"/>
      <c r="B100" s="166"/>
      <c r="C100" s="166"/>
      <c r="D100" s="166"/>
      <c r="E100" s="171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</row>
    <row r="101" spans="1:55" hidden="1">
      <c r="A101" s="168" t="s">
        <v>137</v>
      </c>
      <c r="B101" s="166"/>
      <c r="C101" s="166"/>
      <c r="D101" s="166"/>
      <c r="E101" s="171"/>
      <c r="F101" s="167"/>
      <c r="G101" s="167"/>
      <c r="H101" s="167"/>
      <c r="I101" s="167"/>
      <c r="J101" s="167"/>
      <c r="K101" s="167"/>
      <c r="L101" s="167"/>
      <c r="M101" s="167">
        <v>-47000</v>
      </c>
      <c r="N101" s="167"/>
      <c r="O101" s="167"/>
      <c r="P101" s="167"/>
      <c r="Q101" s="167"/>
      <c r="R101" s="167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</row>
    <row r="102" spans="1:55" ht="15" hidden="1">
      <c r="A102" s="166"/>
      <c r="B102" s="166"/>
      <c r="C102" s="166"/>
      <c r="D102" s="166"/>
      <c r="E102" s="171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71"/>
      <c r="R102" s="167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</row>
    <row r="103" spans="1:55" ht="15.75" hidden="1">
      <c r="A103" s="180" t="s">
        <v>138</v>
      </c>
      <c r="B103" s="166"/>
      <c r="C103" s="166"/>
      <c r="D103" s="166"/>
      <c r="E103" s="171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71"/>
      <c r="R103" s="167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</row>
    <row r="104" spans="1:55" ht="15" hidden="1">
      <c r="A104" s="168" t="s">
        <v>139</v>
      </c>
      <c r="B104" s="166"/>
      <c r="C104" s="166"/>
      <c r="D104" s="166"/>
      <c r="E104" s="171"/>
      <c r="F104" s="167"/>
      <c r="G104" s="167"/>
      <c r="H104" s="167"/>
      <c r="I104" s="167"/>
      <c r="J104" s="167"/>
      <c r="K104" s="167"/>
      <c r="L104" s="167"/>
      <c r="M104" s="172">
        <v>141221</v>
      </c>
      <c r="N104" s="170">
        <v>755955</v>
      </c>
      <c r="O104" s="167"/>
      <c r="P104" s="167"/>
      <c r="Q104" s="171"/>
      <c r="R104" s="167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</row>
    <row r="105" spans="1:55" ht="15" hidden="1">
      <c r="A105" s="168" t="s">
        <v>140</v>
      </c>
      <c r="B105" s="166"/>
      <c r="C105" s="166"/>
      <c r="D105" s="166"/>
      <c r="E105" s="171"/>
      <c r="F105" s="167"/>
      <c r="G105" s="167"/>
      <c r="H105" s="167"/>
      <c r="I105" s="167"/>
      <c r="J105" s="167"/>
      <c r="K105" s="167"/>
      <c r="L105" s="167"/>
      <c r="M105" s="167">
        <v>-120150</v>
      </c>
      <c r="N105" s="167"/>
      <c r="O105" s="167"/>
      <c r="P105" s="167"/>
      <c r="Q105" s="171"/>
      <c r="R105" s="167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</row>
    <row r="106" spans="1:55" ht="15" hidden="1">
      <c r="A106" s="168" t="s">
        <v>141</v>
      </c>
      <c r="B106" s="166"/>
      <c r="C106" s="166"/>
      <c r="D106" s="166"/>
      <c r="E106" s="171"/>
      <c r="F106" s="167"/>
      <c r="G106" s="167"/>
      <c r="H106" s="167"/>
      <c r="I106" s="167"/>
      <c r="J106" s="167"/>
      <c r="K106" s="167"/>
      <c r="L106" s="167"/>
      <c r="M106" s="167">
        <v>-21641</v>
      </c>
      <c r="N106" s="167"/>
      <c r="O106" s="167"/>
      <c r="P106" s="167"/>
      <c r="Q106" s="171"/>
      <c r="R106" s="167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</row>
    <row r="107" spans="1:55" ht="15" hidden="1">
      <c r="A107" s="168" t="s">
        <v>128</v>
      </c>
      <c r="B107" s="166"/>
      <c r="C107" s="166"/>
      <c r="D107" s="166"/>
      <c r="E107" s="171"/>
      <c r="F107" s="167"/>
      <c r="G107" s="167"/>
      <c r="H107" s="167"/>
      <c r="I107" s="167"/>
      <c r="J107" s="167"/>
      <c r="K107" s="167"/>
      <c r="L107" s="167"/>
      <c r="M107" s="167">
        <v>-120000</v>
      </c>
      <c r="N107" s="167"/>
      <c r="O107" s="167"/>
      <c r="P107" s="167"/>
      <c r="Q107" s="171"/>
      <c r="R107" s="167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</row>
    <row r="108" spans="1:55" ht="15" hidden="1">
      <c r="A108" s="168" t="s">
        <v>142</v>
      </c>
      <c r="B108" s="166"/>
      <c r="C108" s="166"/>
      <c r="D108" s="166"/>
      <c r="E108" s="175"/>
      <c r="F108" s="167"/>
      <c r="G108" s="167"/>
      <c r="H108" s="167"/>
      <c r="I108" s="167"/>
      <c r="J108" s="167"/>
      <c r="K108" s="167"/>
      <c r="L108" s="177">
        <v>-1148689</v>
      </c>
      <c r="M108" s="167"/>
      <c r="N108" s="167"/>
      <c r="O108" s="167"/>
      <c r="P108" s="167"/>
      <c r="Q108" s="171"/>
      <c r="R108" s="167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</row>
    <row r="109" spans="1:55" ht="15" hidden="1">
      <c r="A109" s="168" t="s">
        <v>132</v>
      </c>
      <c r="B109" s="166"/>
      <c r="C109" s="166"/>
      <c r="D109" s="166"/>
      <c r="E109" s="175"/>
      <c r="F109" s="167"/>
      <c r="G109" s="167"/>
      <c r="H109" s="167"/>
      <c r="I109" s="167"/>
      <c r="J109" s="167"/>
      <c r="K109" s="167"/>
      <c r="L109" s="177">
        <v>265000</v>
      </c>
      <c r="M109" s="167"/>
      <c r="N109" s="167"/>
      <c r="O109" s="167"/>
      <c r="P109" s="167"/>
      <c r="Q109" s="171"/>
      <c r="R109" s="167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</row>
    <row r="110" spans="1:55" ht="15" hidden="1">
      <c r="A110" s="181"/>
      <c r="B110" s="182"/>
      <c r="C110" s="182"/>
      <c r="D110" s="182"/>
      <c r="E110" s="175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71"/>
      <c r="R110" s="167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</row>
    <row r="111" spans="1:55" ht="15" hidden="1">
      <c r="A111" s="168"/>
      <c r="B111" s="166"/>
      <c r="C111" s="166"/>
      <c r="D111" s="166"/>
      <c r="E111" s="175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71"/>
      <c r="R111" s="167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</row>
    <row r="112" spans="1:55" ht="15" hidden="1">
      <c r="A112" s="168"/>
      <c r="B112" s="166"/>
      <c r="C112" s="166"/>
      <c r="D112" s="166"/>
      <c r="E112" s="175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71"/>
      <c r="R112" s="167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</row>
    <row r="113" spans="1:55" ht="15" hidden="1">
      <c r="A113" s="168"/>
      <c r="B113" s="166"/>
      <c r="C113" s="166"/>
      <c r="D113" s="166"/>
      <c r="E113" s="171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71"/>
      <c r="R113" s="167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</row>
    <row r="114" spans="1:55" ht="15" hidden="1">
      <c r="A114" s="168" t="s">
        <v>143</v>
      </c>
      <c r="B114" s="166"/>
      <c r="C114" s="166"/>
      <c r="D114" s="166"/>
      <c r="E114" s="171"/>
      <c r="F114" s="167"/>
      <c r="G114" s="167"/>
      <c r="H114" s="167"/>
      <c r="I114" s="167"/>
      <c r="J114" s="167"/>
      <c r="K114" s="167"/>
      <c r="L114" s="167"/>
      <c r="M114" s="167"/>
      <c r="N114" s="167"/>
      <c r="O114" s="169">
        <v>312000</v>
      </c>
      <c r="P114" s="167"/>
      <c r="Q114" s="167"/>
      <c r="R114" s="167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</row>
    <row r="115" spans="1:55" ht="9" customHeight="1">
      <c r="A115" s="166"/>
      <c r="B115" s="166"/>
      <c r="C115" s="166"/>
      <c r="D115" s="166"/>
      <c r="E115" s="171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71"/>
      <c r="R115" s="167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</row>
    <row r="116" spans="1:55" ht="15" hidden="1">
      <c r="A116" s="166"/>
      <c r="B116" s="166"/>
      <c r="C116" s="166"/>
      <c r="D116" s="166"/>
      <c r="E116" s="171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71"/>
      <c r="R116" s="167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</row>
    <row r="117" spans="1:55" ht="15.75" hidden="1">
      <c r="A117" s="165" t="s">
        <v>144</v>
      </c>
      <c r="B117" s="166"/>
      <c r="C117" s="166"/>
      <c r="D117" s="166"/>
      <c r="E117" s="171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71"/>
      <c r="R117" s="167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</row>
    <row r="118" spans="1:55" ht="15" hidden="1">
      <c r="A118" s="166" t="s">
        <v>124</v>
      </c>
      <c r="B118" s="166"/>
      <c r="C118" s="166"/>
      <c r="D118" s="166"/>
      <c r="E118" s="171">
        <v>519291</v>
      </c>
      <c r="F118" s="167"/>
      <c r="G118" s="167"/>
      <c r="H118" s="167"/>
      <c r="I118" s="167"/>
      <c r="J118" s="167"/>
      <c r="K118" s="167"/>
      <c r="L118" s="167"/>
      <c r="M118" s="172">
        <v>263132</v>
      </c>
      <c r="N118" s="170">
        <v>324061</v>
      </c>
      <c r="O118" s="170">
        <v>285927</v>
      </c>
      <c r="P118" s="170">
        <v>620627</v>
      </c>
      <c r="Q118" s="171"/>
      <c r="R118" s="170">
        <v>545730</v>
      </c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</row>
    <row r="119" spans="1:55" hidden="1">
      <c r="A119" s="168" t="s">
        <v>128</v>
      </c>
      <c r="B119" s="166"/>
      <c r="C119" s="166"/>
      <c r="D119" s="166"/>
      <c r="E119" s="171"/>
      <c r="F119" s="167"/>
      <c r="G119" s="167"/>
      <c r="H119" s="167"/>
      <c r="I119" s="167"/>
      <c r="J119" s="167"/>
      <c r="K119" s="167"/>
      <c r="L119" s="167"/>
      <c r="M119" s="167">
        <v>-260000</v>
      </c>
      <c r="N119" s="167"/>
      <c r="O119" s="167"/>
      <c r="P119" s="167"/>
      <c r="Q119" s="171"/>
      <c r="R119" s="167"/>
    </row>
    <row r="120" spans="1:55" hidden="1">
      <c r="A120" s="168" t="s">
        <v>145</v>
      </c>
      <c r="B120" s="166"/>
      <c r="C120" s="166"/>
      <c r="D120" s="166"/>
      <c r="E120" s="175"/>
      <c r="F120" s="167"/>
      <c r="G120" s="167"/>
      <c r="H120" s="167"/>
      <c r="I120" s="167"/>
      <c r="J120" s="167"/>
      <c r="K120" s="167"/>
      <c r="L120" s="177">
        <v>-285194</v>
      </c>
      <c r="M120" s="167"/>
      <c r="N120" s="167"/>
      <c r="O120" s="167"/>
      <c r="P120" s="167"/>
      <c r="Q120" s="167"/>
      <c r="R120" s="167"/>
    </row>
    <row r="121" spans="1:55" ht="15" hidden="1">
      <c r="A121" s="174" t="s">
        <v>131</v>
      </c>
      <c r="B121" s="166"/>
      <c r="C121" s="166"/>
      <c r="D121" s="166"/>
      <c r="E121" s="175"/>
      <c r="F121" s="167"/>
      <c r="G121" s="167"/>
      <c r="H121" s="167"/>
      <c r="I121" s="167"/>
      <c r="J121" s="167"/>
      <c r="K121" s="183"/>
      <c r="L121" s="177">
        <v>243156</v>
      </c>
      <c r="M121" s="183"/>
      <c r="N121" s="183"/>
      <c r="O121" s="183"/>
      <c r="P121" s="183"/>
      <c r="Q121" s="183"/>
      <c r="R121" s="183"/>
    </row>
    <row r="122" spans="1:55" hidden="1">
      <c r="A122" s="166"/>
      <c r="B122" s="166"/>
      <c r="C122" s="166"/>
      <c r="D122" s="166"/>
      <c r="E122" s="171"/>
      <c r="F122" s="167"/>
      <c r="G122" s="167"/>
      <c r="H122" s="167"/>
      <c r="I122" s="167"/>
      <c r="J122" s="167"/>
      <c r="K122" s="183"/>
      <c r="L122" s="183"/>
      <c r="M122" s="183"/>
      <c r="N122" s="183"/>
      <c r="O122" s="183"/>
      <c r="P122" s="183"/>
      <c r="Q122" s="183"/>
      <c r="R122" s="183"/>
    </row>
    <row r="123" spans="1:55" hidden="1">
      <c r="A123" s="168" t="s">
        <v>146</v>
      </c>
      <c r="B123" s="166"/>
      <c r="C123" s="166"/>
      <c r="D123" s="166"/>
      <c r="E123" s="171"/>
      <c r="F123" s="167"/>
      <c r="G123" s="167"/>
      <c r="H123" s="167"/>
      <c r="I123" s="167"/>
      <c r="J123" s="167"/>
      <c r="K123" s="183"/>
      <c r="L123" s="183"/>
      <c r="M123" s="183"/>
      <c r="N123" s="183"/>
      <c r="O123" s="183"/>
      <c r="P123" s="183"/>
      <c r="Q123" s="183"/>
      <c r="R123" s="183"/>
    </row>
    <row r="124" spans="1:55" hidden="1">
      <c r="A124" s="168" t="s">
        <v>147</v>
      </c>
      <c r="B124" s="166"/>
      <c r="C124" s="166"/>
      <c r="D124" s="166"/>
      <c r="E124" s="171"/>
      <c r="F124" s="167"/>
      <c r="G124" s="167"/>
      <c r="H124" s="167"/>
      <c r="I124" s="167"/>
      <c r="J124" s="167"/>
      <c r="K124" s="183"/>
      <c r="L124" s="183"/>
      <c r="M124" s="183"/>
      <c r="N124" s="183"/>
      <c r="O124" s="183"/>
      <c r="P124" s="183"/>
      <c r="Q124" s="183"/>
      <c r="R124" s="183"/>
    </row>
    <row r="125" spans="1:55" hidden="1">
      <c r="A125" s="168" t="s">
        <v>148</v>
      </c>
      <c r="B125" s="166"/>
      <c r="C125" s="166"/>
      <c r="D125" s="166"/>
      <c r="E125" s="175"/>
      <c r="F125" s="167"/>
      <c r="G125" s="167"/>
      <c r="H125" s="167"/>
      <c r="I125" s="167"/>
      <c r="J125" s="167"/>
      <c r="K125" s="183"/>
      <c r="L125" s="183"/>
      <c r="M125" s="175">
        <v>-97646</v>
      </c>
      <c r="N125" s="183"/>
      <c r="O125" s="183"/>
      <c r="P125" s="183"/>
      <c r="Q125" s="183"/>
      <c r="R125" s="183"/>
    </row>
    <row r="126" spans="1:55" hidden="1">
      <c r="A126" s="168" t="s">
        <v>149</v>
      </c>
      <c r="B126" s="166"/>
      <c r="C126" s="166"/>
      <c r="D126" s="166"/>
      <c r="E126" s="175"/>
      <c r="F126" s="167"/>
      <c r="G126" s="167"/>
      <c r="H126" s="167"/>
      <c r="I126" s="167"/>
      <c r="J126" s="167"/>
      <c r="K126" s="183"/>
      <c r="L126" s="183"/>
      <c r="M126" s="175">
        <v>-1484981</v>
      </c>
      <c r="N126" s="183"/>
      <c r="O126" s="183"/>
      <c r="P126" s="183"/>
      <c r="Q126" s="183"/>
      <c r="R126" s="183"/>
    </row>
    <row r="127" spans="1:55" hidden="1">
      <c r="A127" s="168" t="s">
        <v>150</v>
      </c>
      <c r="B127" s="166"/>
      <c r="C127" s="166"/>
      <c r="D127" s="166"/>
      <c r="E127" s="175"/>
      <c r="F127" s="167"/>
      <c r="G127" s="167"/>
      <c r="H127" s="167"/>
      <c r="I127" s="167"/>
      <c r="J127" s="167"/>
      <c r="K127" s="183"/>
      <c r="L127" s="183"/>
      <c r="M127" s="175">
        <v>-88987</v>
      </c>
      <c r="N127" s="183"/>
      <c r="O127" s="183"/>
      <c r="P127" s="183"/>
      <c r="Q127" s="183"/>
      <c r="R127" s="183"/>
    </row>
    <row r="128" spans="1:55" ht="15" hidden="1">
      <c r="A128" s="166"/>
      <c r="B128" s="166"/>
      <c r="C128" s="166"/>
      <c r="D128" s="166"/>
      <c r="E128" s="166"/>
      <c r="F128" s="166"/>
      <c r="G128" s="166"/>
      <c r="H128" s="166"/>
      <c r="I128" s="166"/>
      <c r="J128" s="184"/>
      <c r="K128" s="179"/>
      <c r="L128" s="179"/>
      <c r="M128" s="179"/>
      <c r="N128" s="179"/>
      <c r="O128" s="179"/>
      <c r="P128" s="179"/>
      <c r="Q128" s="179"/>
      <c r="R128" s="179"/>
    </row>
    <row r="129" spans="1:18" ht="30" customHeight="1">
      <c r="A129" s="145" t="s">
        <v>108</v>
      </c>
      <c r="B129" s="166"/>
      <c r="C129" s="166"/>
      <c r="D129" s="166"/>
      <c r="E129" s="166"/>
      <c r="F129" s="166"/>
      <c r="G129" s="166"/>
      <c r="H129" s="166"/>
      <c r="I129" s="166"/>
      <c r="J129" s="184"/>
      <c r="K129" s="179"/>
      <c r="L129" s="179"/>
      <c r="M129" s="179"/>
      <c r="N129" s="179"/>
      <c r="O129" s="179"/>
      <c r="P129" s="179"/>
      <c r="Q129" s="179"/>
      <c r="R129" s="179"/>
    </row>
    <row r="130" spans="1:18" ht="8.1" customHeight="1">
      <c r="B130" s="166"/>
      <c r="C130" s="166"/>
      <c r="D130" s="166"/>
      <c r="E130" s="166"/>
      <c r="F130" s="166"/>
      <c r="G130" s="166"/>
      <c r="H130" s="166"/>
      <c r="I130" s="166"/>
      <c r="J130" s="184"/>
      <c r="K130" s="179"/>
      <c r="L130" s="179"/>
      <c r="M130" s="179"/>
      <c r="N130" s="179"/>
      <c r="O130" s="179"/>
      <c r="P130" s="179"/>
      <c r="Q130" s="179"/>
      <c r="R130" s="179"/>
    </row>
    <row r="131" spans="1:18" ht="45.95" customHeight="1">
      <c r="A131" s="146" t="s">
        <v>109</v>
      </c>
      <c r="B131" s="166"/>
      <c r="C131" s="166"/>
      <c r="D131" s="166"/>
      <c r="E131" s="166"/>
      <c r="F131" s="166"/>
      <c r="G131" s="166"/>
      <c r="H131" s="166"/>
      <c r="I131" s="166"/>
      <c r="J131" s="184"/>
      <c r="K131" s="179"/>
      <c r="L131" s="179"/>
      <c r="M131" s="179"/>
      <c r="N131" s="179"/>
      <c r="O131" s="179"/>
      <c r="P131" s="179"/>
      <c r="Q131" s="179"/>
      <c r="R131" s="179"/>
    </row>
    <row r="132" spans="1:18" ht="15">
      <c r="A132" s="166"/>
      <c r="B132" s="166"/>
      <c r="C132" s="166"/>
      <c r="D132" s="166"/>
      <c r="E132" s="166"/>
      <c r="F132" s="166"/>
      <c r="G132" s="166"/>
      <c r="H132" s="166"/>
      <c r="I132" s="166"/>
      <c r="J132" s="184"/>
      <c r="K132" s="179"/>
      <c r="L132" s="179"/>
      <c r="M132" s="179"/>
      <c r="N132" s="179"/>
      <c r="O132" s="179"/>
      <c r="P132" s="179"/>
      <c r="Q132" s="179"/>
      <c r="R132" s="179"/>
    </row>
    <row r="133" spans="1:18" ht="15">
      <c r="A133" s="166"/>
      <c r="B133" s="166"/>
      <c r="C133" s="166"/>
      <c r="D133" s="166"/>
      <c r="E133" s="166"/>
      <c r="F133" s="166"/>
      <c r="G133" s="166"/>
      <c r="H133" s="166"/>
      <c r="I133" s="166"/>
      <c r="J133" s="184"/>
      <c r="K133" s="179"/>
      <c r="L133" s="179"/>
      <c r="M133" s="179"/>
      <c r="N133" s="179"/>
      <c r="O133" s="179"/>
      <c r="P133" s="179"/>
      <c r="Q133" s="179"/>
      <c r="R133" s="179"/>
    </row>
    <row r="134" spans="1:18">
      <c r="A134" s="166"/>
      <c r="B134" s="166"/>
      <c r="C134" s="166"/>
      <c r="D134" s="166"/>
      <c r="E134" s="166"/>
      <c r="F134" s="166"/>
      <c r="G134" s="166"/>
      <c r="H134" s="166"/>
      <c r="I134" s="166"/>
      <c r="J134" s="184"/>
    </row>
    <row r="135" spans="1:18">
      <c r="A135" s="166"/>
      <c r="B135" s="166"/>
      <c r="C135" s="166"/>
      <c r="D135" s="166"/>
      <c r="E135" s="166"/>
      <c r="F135" s="166"/>
      <c r="G135" s="166"/>
      <c r="H135" s="166"/>
      <c r="I135" s="166"/>
      <c r="J135" s="184"/>
    </row>
    <row r="136" spans="1:18" ht="15">
      <c r="A136" s="179"/>
      <c r="B136" s="179"/>
      <c r="C136" s="179"/>
      <c r="D136" s="179"/>
      <c r="E136" s="179"/>
      <c r="F136" s="179"/>
      <c r="G136" s="179"/>
      <c r="H136" s="179"/>
      <c r="I136" s="179"/>
      <c r="J136" s="184"/>
    </row>
    <row r="137" spans="1:18" ht="15">
      <c r="A137" s="179"/>
      <c r="B137" s="179"/>
      <c r="C137" s="179"/>
      <c r="D137" s="179"/>
      <c r="E137" s="179"/>
      <c r="F137" s="179"/>
      <c r="G137" s="179"/>
      <c r="H137" s="179"/>
      <c r="I137" s="179"/>
      <c r="J137" s="184"/>
    </row>
  </sheetData>
  <mergeCells count="4">
    <mergeCell ref="B2:P2"/>
    <mergeCell ref="E6:J6"/>
    <mergeCell ref="B80:P80"/>
    <mergeCell ref="E82:J82"/>
  </mergeCells>
  <printOptions gridLines="1"/>
  <pageMargins left="0.2" right="0.2" top="0.75" bottom="7.0000000000000007E-2" header="0.3" footer="0.3"/>
  <pageSetup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ECU Libraries</vt:lpstr>
      <vt:lpstr>Budgets 2011-15</vt:lpstr>
      <vt:lpstr>Laupus</vt:lpstr>
      <vt:lpstr>Joyner</vt:lpstr>
      <vt:lpstr>Joyner!Print_Area</vt:lpstr>
      <vt:lpstr>Laupus!Print_Area</vt:lpstr>
    </vt:vector>
  </TitlesOfParts>
  <Company>ECU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</dc:creator>
  <cp:lastModifiedBy>leel</cp:lastModifiedBy>
  <cp:lastPrinted>2011-03-17T15:50:38Z</cp:lastPrinted>
  <dcterms:created xsi:type="dcterms:W3CDTF">2011-03-17T15:21:37Z</dcterms:created>
  <dcterms:modified xsi:type="dcterms:W3CDTF">2011-03-20T17:02:46Z</dcterms:modified>
</cp:coreProperties>
</file>